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usar" sheetId="1" state="visible" r:id="rId1"/>
    <sheet xmlns:r="http://schemas.openxmlformats.org/officeDocument/2006/relationships" name="Cadastro" sheetId="2" state="visible" r:id="rId2"/>
    <sheet xmlns:r="http://schemas.openxmlformats.org/officeDocument/2006/relationships" name="Motivos" sheetId="3" state="visible" r:id="rId3"/>
    <sheet xmlns:r="http://schemas.openxmlformats.org/officeDocument/2006/relationships" name="Apontamento" sheetId="4" state="visible" r:id="rId4"/>
    <sheet xmlns:r="http://schemas.openxmlformats.org/officeDocument/2006/relationships" name="Cálculo" sheetId="5" state="visible" r:id="rId5"/>
    <sheet xmlns:r="http://schemas.openxmlformats.org/officeDocument/2006/relationships" name="Pareto de perdas" sheetId="6" state="visible" r:id="rId6"/>
  </sheets>
  <definedNames>
    <definedName name="CAD">Cadastro!$A$6:$K$25</definedName>
    <definedName name="MOT">Motivos!$A$6:$F$25</definedName>
    <definedName name="AP_DATA">Apontamento!$A$6:$A$505</definedName>
    <definedName name="AP_TURNO">Apontamento!$B$6:$B$505</definedName>
    <definedName name="AP_EQ">Apontamento!$C$6:$C$505</definedName>
    <definedName name="AP_DUR">Apontamento!$F$6:$F$505</definedName>
    <definedName name="AP_COD">Apontamento!$G$6:$G$505</definedName>
    <definedName name="AP_CLASSE">Apontamento!$H$6:$H$505</definedName>
    <definedName name="AP_PROD">Apontamento!$J$6:$J$505</definedName>
    <definedName name="AP_REF">Apontamento!$K$6:$K$505</definedName>
    <definedName name="AP_ARR">Apontamento!$L$6:$L$505</definedName>
    <definedName name="AP_RET">Apontamento!$M$6:$M$505</definedName>
    <definedName name="AP_FECH">Apontamento!$P$6:$P$505</definedName>
    <definedName name="CA_DATA">'Cálculo'!$B$6:$B$105</definedName>
    <definedName name="CA_EQ">'Cálculo'!$D$6:$D$105</definedName>
    <definedName name="CA_CAL">'Cálculo'!$E$6:$E$105</definedName>
    <definedName name="CA_PLAN">'Cálculo'!$H$6:$H$105</definedName>
    <definedName name="CA_PNP">'Cálculo'!$I$6:$I$105</definedName>
    <definedName name="CA_OPER">'Cálculo'!$J$6:$J$105</definedName>
    <definedName name="CA_PROD">'Cálculo'!$N$6:$N$105</definedName>
    <definedName name="CA_POSS">'Cálculo'!$O$6:$O$105</definedName>
    <definedName name="CA_REF">'Cálculo'!$Q$6:$Q$105</definedName>
    <definedName name="CA_RET">'Cálculo'!$R$6:$R$105</definedName>
    <definedName name="CA_BOAS">'Cálculo'!$S$6:$S$105</definedName>
    <definedName name="CA_LDISP">'Cálculo'!$Y$6:$Y$105</definedName>
    <definedName name="CA_LDES">'Cálculo'!$Z$6:$Z$105</definedName>
    <definedName name="CA_LQUAL">'Cálculo'!$AA$6:$AA$105</definedName>
    <definedName name="CA_EFET">'Cálculo'!$AB$6:$AB$105</definedName>
    <definedName name="CA_LARR">'Cálculo'!$AD$6:$AD$105</definedName>
    <definedName name="EQF">'Pareto de perdas'!$E$5</definedName>
    <definedName name="DT_INI">'Pareto de perdas'!$C$6</definedName>
    <definedName name="DT_FIM">'Pareto de perdas'!$C$7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00"/>
    <numFmt numFmtId="165" formatCode="dd/mm/yyyy"/>
    <numFmt numFmtId="166" formatCode="hh:mm"/>
    <numFmt numFmtId="167" formatCode="0.0"/>
    <numFmt numFmtId="168" formatCode="0.0%"/>
    <numFmt numFmtId="169" formatCode="0.000000"/>
    <numFmt numFmtId="170" formatCode="yyyy-mm-dd"/>
  </numFmts>
  <fonts count="12">
    <font>
      <name val="Calibri"/>
      <family val="2"/>
      <color theme="1"/>
      <sz val="11"/>
      <scheme val="minor"/>
    </font>
    <font>
      <b val="1"/>
      <color rgb="001F2A44"/>
      <sz val="16"/>
    </font>
    <font>
      <b val="1"/>
      <color rgb="00D13B27"/>
      <sz val="10"/>
    </font>
    <font>
      <b val="1"/>
      <color rgb="00D13B27"/>
    </font>
    <font>
      <b val="1"/>
      <color rgb="00FFFFFF"/>
    </font>
    <font>
      <b val="1"/>
    </font>
    <font>
      <color rgb="00000000"/>
      <sz val="11"/>
    </font>
    <font>
      <color rgb="006B7280"/>
      <sz val="11"/>
    </font>
    <font>
      <b val="1"/>
      <color rgb="001F2A44"/>
      <sz val="11"/>
    </font>
    <font>
      <color rgb="009AA0AA"/>
    </font>
    <font>
      <b val="1"/>
      <color rgb="00000000"/>
      <sz val="11"/>
    </font>
    <font>
      <b val="1"/>
      <color rgb="001F2A44"/>
      <sz val="12"/>
    </font>
  </fonts>
  <fills count="6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EF1F6"/>
      </patternFill>
    </fill>
    <fill>
      <patternFill patternType="solid">
        <fgColor rgb="00E8F3EA"/>
      </patternFill>
    </fill>
    <fill>
      <patternFill patternType="solid">
        <fgColor rgb="001F2A44"/>
      </patternFill>
    </fill>
  </fills>
  <borders count="6">
    <border>
      <left/>
      <right/>
      <top/>
      <bottom/>
      <diagonal/>
    </border>
    <border>
      <left style="thin">
        <color rgb="00C9CED8"/>
      </left>
      <right style="thin">
        <color rgb="00C9CED8"/>
      </right>
      <top style="thin">
        <color rgb="00C9CED8"/>
      </top>
      <bottom style="thin">
        <color rgb="00C9CED8"/>
      </bottom>
    </border>
    <border>
      <left/>
      <right/>
      <top style="thin">
        <color rgb="00C9CED8"/>
      </top>
      <bottom/>
      <diagonal/>
    </border>
    <border>
      <left/>
      <right style="thin">
        <color rgb="00C9CED8"/>
      </right>
      <top style="thin">
        <color rgb="00C9CED8"/>
      </top>
      <bottom/>
      <diagonal/>
    </border>
    <border>
      <left/>
      <right/>
      <top style="thin">
        <color rgb="00C9CED8"/>
      </top>
      <bottom style="thin">
        <color rgb="00C9CED8"/>
      </bottom>
      <diagonal/>
    </border>
    <border>
      <left/>
      <right style="thin">
        <color rgb="00C9CED8"/>
      </right>
      <top style="thin">
        <color rgb="00C9CED8"/>
      </top>
      <bottom style="thin">
        <color rgb="00C9CED8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1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0" fillId="2" borderId="1" pivotButton="0" quotePrefix="0" xfId="0"/>
    <xf numFmtId="0" fontId="0" fillId="3" borderId="1" pivotButton="0" quotePrefix="0" xfId="0"/>
    <xf numFmtId="0" fontId="0" fillId="4" borderId="1" pivotButton="0" quotePrefix="0" xfId="0"/>
    <xf numFmtId="0" fontId="3" fillId="0" borderId="0" pivotButton="0" quotePrefix="0" xfId="0"/>
    <xf numFmtId="0" fontId="4" fillId="5" borderId="1" applyAlignment="1" pivotButton="0" quotePrefix="0" xfId="0">
      <alignment horizontal="center" vertical="center" wrapText="1"/>
    </xf>
    <xf numFmtId="0" fontId="0" fillId="2" borderId="1" applyProtection="1" pivotButton="0" quotePrefix="0" xfId="0">
      <protection locked="0" hidden="0"/>
    </xf>
    <xf numFmtId="164" fontId="0" fillId="3" borderId="1" pivotButton="0" quotePrefix="0" xfId="0"/>
    <xf numFmtId="1" fontId="0" fillId="3" borderId="1" pivotButton="0" quotePrefix="0" xfId="0"/>
    <xf numFmtId="165" fontId="0" fillId="2" borderId="1" applyProtection="1" pivotButton="0" quotePrefix="0" xfId="0">
      <protection locked="0" hidden="0"/>
    </xf>
    <xf numFmtId="166" fontId="0" fillId="2" borderId="1" applyProtection="1" pivotButton="0" quotePrefix="0" xfId="0">
      <protection locked="0" hidden="0"/>
    </xf>
    <xf numFmtId="167" fontId="0" fillId="3" borderId="1" pivotButton="0" quotePrefix="0" xfId="0"/>
    <xf numFmtId="3" fontId="0" fillId="2" borderId="1" applyProtection="1" pivotButton="0" quotePrefix="0" xfId="0">
      <protection locked="0" hidden="0"/>
    </xf>
    <xf numFmtId="165" fontId="0" fillId="3" borderId="1" pivotButton="0" quotePrefix="0" xfId="0"/>
    <xf numFmtId="168" fontId="5" fillId="4" borderId="1" pivotButton="0" quotePrefix="0" xfId="0"/>
    <xf numFmtId="3" fontId="0" fillId="3" borderId="1" pivotButton="0" quotePrefix="0" xfId="0"/>
    <xf numFmtId="169" fontId="0" fillId="3" borderId="1" pivotButton="0" quotePrefix="0" xfId="0"/>
    <xf numFmtId="0" fontId="7" fillId="0" borderId="0" pivotButton="0" quotePrefix="0" xfId="0"/>
    <xf numFmtId="0" fontId="6" fillId="0" borderId="0" pivotButton="0" quotePrefix="0" xfId="0"/>
    <xf numFmtId="0" fontId="8" fillId="0" borderId="0" pivotButton="0" quotePrefix="0" xfId="0"/>
    <xf numFmtId="0" fontId="5" fillId="4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5" pivotButton="0" quotePrefix="0" xfId="0"/>
    <xf numFmtId="0" fontId="5" fillId="3" borderId="1" pivotButton="0" quotePrefix="0" xfId="0"/>
    <xf numFmtId="167" fontId="5" fillId="4" borderId="1" pivotButton="0" quotePrefix="0" xfId="0"/>
    <xf numFmtId="168" fontId="0" fillId="3" borderId="1" pivotButton="0" quotePrefix="0" xfId="0"/>
    <xf numFmtId="169" fontId="9" fillId="3" borderId="1" pivotButton="0" quotePrefix="0" xfId="0"/>
    <xf numFmtId="0" fontId="0" fillId="3" borderId="1" applyAlignment="1" pivotButton="0" quotePrefix="0" xfId="0">
      <alignment vertical="top" wrapText="1"/>
    </xf>
    <xf numFmtId="1" fontId="0" fillId="2" borderId="1" applyProtection="1" pivotButton="0" quotePrefix="0" xfId="0">
      <protection locked="0" hidden="0"/>
    </xf>
    <xf numFmtId="167" fontId="0" fillId="2" borderId="1" applyProtection="1" pivotButton="0" quotePrefix="0" xfId="0">
      <protection locked="0" hidden="0"/>
    </xf>
    <xf numFmtId="169" fontId="5" fillId="4" borderId="1" pivotButton="0" quotePrefix="0" xfId="0"/>
    <xf numFmtId="0" fontId="10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8D0CA"/>
        </patternFill>
      </fill>
    </dxf>
    <dxf>
      <fill>
        <patternFill patternType="solid">
          <fgColor rgb="00CDEB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Pareto das três perdas (min)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'Pareto de perdas'!I11</f>
            </strRef>
          </tx>
          <spPr>
            <a:solidFill xmlns:a="http://schemas.openxmlformats.org/drawingml/2006/main">
              <a:srgbClr val="1F2A44"/>
            </a:solidFill>
            <a:ln xmlns:a="http://schemas.openxmlformats.org/drawingml/2006/main">
              <a:prstDash val="solid"/>
            </a:ln>
          </spPr>
          <cat>
            <numRef>
              <f>'Pareto de perdas'!$H$12:$H$14</f>
            </numRef>
          </cat>
          <val>
            <numRef>
              <f>'Pareto de perdas'!$I$12:$I$14</f>
            </numRef>
          </val>
        </ser>
        <gapWidth val="40"/>
        <axId val="10"/>
        <axId val="100"/>
      </barChart>
      <lineChart>
        <grouping val="standard"/>
        <ser>
          <idx val="1"/>
          <order val="1"/>
          <tx>
            <strRef>
              <f>'Pareto de perdas'!J11</f>
            </strRef>
          </tx>
          <spPr>
            <a:ln xmlns:a="http://schemas.openxmlformats.org/drawingml/2006/main" w="22000">
              <a:solidFill>
                <a:srgbClr val="D13B27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D13B27"/>
              </a:solidFill>
              <a:ln xmlns:a="http://schemas.openxmlformats.org/drawingml/2006/main">
                <a:prstDash val="solid"/>
              </a:ln>
            </spPr>
          </marker>
          <val>
            <numRef>
              <f>'Pareto de perdas'!$J$12:$J$14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Minutos</a:t>
                </a:r>
              </a:p>
            </rich>
          </tx>
        </title>
        <majorTickMark val="none"/>
        <minorTickMark val="none"/>
        <crossAx val="10"/>
      </valAx>
      <valAx>
        <axId val="200"/>
        <scaling>
          <orientation val="minMax"/>
          <max val="1"/>
          <min val="0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% acumulado</a:t>
                </a:r>
              </a:p>
            </rich>
          </tx>
        </title>
        <numFmt formatCode="0%" sourceLinked="0"/>
        <majorTickMark val="none"/>
        <minorTickMark val="none"/>
        <crossAx val="10"/>
        <crosses val="max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Pareto por motivo (min)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'Pareto de perdas'!H29</f>
            </strRef>
          </tx>
          <spPr>
            <a:solidFill xmlns:a="http://schemas.openxmlformats.org/drawingml/2006/main">
              <a:srgbClr val="1F2A44"/>
            </a:solidFill>
            <a:ln xmlns:a="http://schemas.openxmlformats.org/drawingml/2006/main">
              <a:prstDash val="solid"/>
            </a:ln>
          </spPr>
          <cat>
            <numRef>
              <f>'Pareto de perdas'!$G$30:$G$37</f>
            </numRef>
          </cat>
          <val>
            <numRef>
              <f>'Pareto de perdas'!$H$30:$H$37</f>
            </numRef>
          </val>
        </ser>
        <gapWidth val="40"/>
        <axId val="10"/>
        <axId val="100"/>
      </barChart>
      <lineChart>
        <grouping val="standard"/>
        <ser>
          <idx val="1"/>
          <order val="1"/>
          <tx>
            <strRef>
              <f>'Pareto de perdas'!J29</f>
            </strRef>
          </tx>
          <spPr>
            <a:ln xmlns:a="http://schemas.openxmlformats.org/drawingml/2006/main" w="22000">
              <a:solidFill>
                <a:srgbClr val="D13B27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D13B27"/>
              </a:solidFill>
              <a:ln xmlns:a="http://schemas.openxmlformats.org/drawingml/2006/main">
                <a:prstDash val="solid"/>
              </a:ln>
            </spPr>
          </marker>
          <val>
            <numRef>
              <f>'Pareto de perdas'!$J$30:$J$37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Minutos</a:t>
                </a:r>
              </a:p>
            </rich>
          </tx>
        </title>
        <majorTickMark val="none"/>
        <minorTickMark val="none"/>
        <crossAx val="10"/>
      </valAx>
      <valAx>
        <axId val="200"/>
        <scaling>
          <orientation val="minMax"/>
          <max val="1"/>
          <min val="0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% acumulado</a:t>
                </a:r>
              </a:p>
            </rich>
          </tx>
        </title>
        <numFmt formatCode="0%" sourceLinked="0"/>
        <majorTickMark val="none"/>
        <minorTickMark val="none"/>
        <crossAx val="10"/>
        <crosses val="max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16</col>
      <colOff>0</colOff>
      <row>14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11</col>
      <colOff>0</colOff>
      <row>31</row>
      <rowOff>0</rowOff>
    </from>
    <ext cx="792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Cadastro" displayName="Cadastro" ref="A5:K25" headerRowCount="1">
  <autoFilter ref="A5:K25"/>
  <tableColumns count="11">
    <tableColumn id="1" name="Equipamento"/>
    <tableColumn id="2" name="Descrição"/>
    <tableColumn id="3" name="Cadência nominal (pç/min)"/>
    <tableColumn id="4" name="Ciclo ideal (s/pç)"/>
    <tableColumn id="5" name="Tempo calendário por turno (min)"/>
    <tableColumn id="6" name="Refeição e intervalo (min)"/>
    <tableColumn id="7" name="Reunião de início de turno (min)"/>
    <tableColumn id="8" name="Preventiva programada excluída (min)"/>
    <tableColumn id="9" name="Outras exclusões fixas (min)"/>
    <tableColumn id="10" name="Tempo planejado (min)"/>
    <tableColumn id="11" name="Definição do tempo planejado"/>
  </tableColumns>
  <tableStyleInfo name="TableStyleLight1" showRowStripes="0"/>
</table>
</file>

<file path=xl/tables/table2.xml><?xml version="1.0" encoding="utf-8"?>
<table xmlns="http://schemas.openxmlformats.org/spreadsheetml/2006/main" id="2" name="Motivos" displayName="Motivos" ref="A5:F25" headerRowCount="1">
  <autoFilter ref="A5:F25"/>
  <tableColumns count="6">
    <tableColumn id="1" name="Código"/>
    <tableColumn id="2" name="Descrição"/>
    <tableColumn id="3" name="Classe"/>
    <tableColumn id="4" name="Fator afetado"/>
    <tableColumn id="5" name="Grande perda (TPM)"/>
    <tableColumn id="6" name="Dono"/>
  </tableColumns>
  <tableStyleInfo name="TableStyleLight1" showRowStripes="0"/>
</table>
</file>

<file path=xl/tables/table3.xml><?xml version="1.0" encoding="utf-8"?>
<table xmlns="http://schemas.openxmlformats.org/spreadsheetml/2006/main" id="3" name="Apont" displayName="Apont" ref="A5:P505" headerRowCount="1">
  <autoFilter ref="A5:P505"/>
  <tableColumns count="16">
    <tableColumn id="1" name="Data"/>
    <tableColumn id="2" name="Turno"/>
    <tableColumn id="3" name="Equipamento"/>
    <tableColumn id="4" name="Hora início"/>
    <tableColumn id="5" name="Hora fim"/>
    <tableColumn id="6" name="Duração (min)"/>
    <tableColumn id="7" name="Código do motivo"/>
    <tableColumn id="8" name="Classe"/>
    <tableColumn id="9" name="Detalhe"/>
    <tableColumn id="10" name="Produzido (pç)"/>
    <tableColumn id="11" name="Refugo (pç)"/>
    <tableColumn id="12" name="Refugo de arranque (pç, já incluído no Refugo)"/>
    <tableColumn id="13" name="Retrabalho (pç)"/>
    <tableColumn id="14" name="Duração sem hora (min)"/>
    <tableColumn id="15" name="Motivo (descrição)"/>
    <tableColumn id="16" name="Nº do fechamento"/>
  </tableColumns>
  <tableStyleInfo name="TableStyleLight1" showRow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0"/>
  <sheetViews>
    <sheetView showGridLines="0"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Modelo de OEE em Excel: o cálculo decomposto</t>
        </is>
      </c>
    </row>
    <row r="2">
      <c r="A2" s="2" t="inlineStr">
        <is>
          <t>Voitto · blog.voitto.com.br · Modelo de OEE em Excel: o cálculo decomposto</t>
        </is>
      </c>
    </row>
    <row r="4">
      <c r="A4" s="3" t="inlineStr">
        <is>
          <t>O que este modelo faz</t>
        </is>
      </c>
    </row>
    <row r="5" ht="64" customHeight="1">
      <c r="A5" s="4" t="inlineStr">
        <is>
          <t>Calcula disponibilidade, desempenho, qualidade e OEE por turno, a partir do apontamento bruto de paradas e do fechamento de produção, confere o resultado por duas vias e decompõe as perdas em minutos para virar Pareto. O exemplo carregado é o turno do artigo: linha de envase, 60 pç/min, 480 min de calendário, 430 min planejados, cinco paradas (74 min), 18.690 produzidas, 412 refugos, OEE 70,8%.</t>
        </is>
      </c>
    </row>
    <row r="6">
      <c r="A6" s="3" t="inlineStr">
        <is>
          <t>Cores</t>
        </is>
      </c>
    </row>
    <row r="7" ht="32" customHeight="1">
      <c r="A7" s="4" t="inlineStr">
        <is>
          <t>Amarelo = entrada. Cinza-azulado = fórmula (não editar). Verde = resultado-chave. Cálculo e Pareto estão protegidos sem senha.</t>
        </is>
      </c>
    </row>
    <row r="8">
      <c r="A8" s="3" t="inlineStr">
        <is>
          <t>As quatro abas do artigo, e duas de apoio</t>
        </is>
      </c>
    </row>
    <row r="9" ht="48" customHeight="1">
      <c r="A9" s="4" t="inlineStr">
        <is>
          <t>Cadastro: um equipamento por linha, cadência nominal (velocidade de placa ou máxima sustentada demonstrada, nunca a média histórica), tempo de calendário por turno e as exclusões fixas. A definição do tempo planejado fica escrita na última coluna.</t>
        </is>
      </c>
    </row>
    <row r="10" ht="32" customHeight="1">
      <c r="A10" s="4" t="inlineStr">
        <is>
          <t>Motivos: código, descrição, classe (Planejada ou Não planejada), fator afetado, grande perda do TPM e dono. 16 códigos de exemplo.</t>
        </is>
      </c>
    </row>
    <row r="11" ht="48" customHeight="1">
      <c r="A11" s="4" t="inlineStr">
        <is>
          <t>Apontamento: a única aba em que alguém digita. Uma linha por parada (data, turno, equipamento, hora início, hora fim, código) e uma linha por turno com o fechamento (Produzido, Refugo, Refugo de arranque, Retrabalho). A duração e a classe saem por fórmula.</t>
        </is>
      </c>
    </row>
    <row r="12" ht="32" customHeight="1">
      <c r="A12" s="4" t="inlineStr">
        <is>
          <t>Cálculo: uma linha por fechamento de turno, puxada sozinha do Apontamento. Disponibilidade, desempenho, qualidade, OEE, OEE pela via curta e a diferença entre as duas vias, que deve ser zero.</t>
        </is>
      </c>
    </row>
    <row r="13" ht="32" customHeight="1">
      <c r="A13" s="4" t="inlineStr">
        <is>
          <t>Pareto de perdas: decomposição em minutos, Pareto das três perdas, Pareto por motivo, leitura automática, simulador de meta e o efeito da definição do tempo planejado. Filtre por equipamento e período.</t>
        </is>
      </c>
    </row>
    <row r="14">
      <c r="A14" s="3" t="inlineStr">
        <is>
          <t>Regras de preenchimento</t>
        </is>
      </c>
    </row>
    <row r="15" ht="32" customHeight="1">
      <c r="A15" s="4" t="inlineStr">
        <is>
          <t>• Registre a parada no evento, com hora de início e fim. Parada que atravessa a meia-noite é tratada pela fórmula.</t>
        </is>
      </c>
    </row>
    <row r="16" ht="32" customHeight="1">
      <c r="A16" s="4" t="inlineStr">
        <is>
          <t>• Parada sem hora (ex.: soma de pequenas paradas registradas): deixe as horas vazias e use a coluna 'Duração sem hora (min)'.</t>
        </is>
      </c>
    </row>
    <row r="17" ht="32" customHeight="1">
      <c r="A17" s="4" t="inlineStr">
        <is>
          <t>• Um único fechamento por data + turno + equipamento. Dois fechamentos do mesmo turno duplicam as paradas no Cálculo.</t>
        </is>
      </c>
    </row>
    <row r="18" ht="48" customHeight="1">
      <c r="A18" s="4" t="inlineStr">
        <is>
          <t>• Refugo conta peça retrabalhada, refugo de arranque, peça de ajuste e amostra destrutiva. 'Refugo de arranque' é a parte do Refugo que veio da partida (não some de novo); 'Retrabalho' é somado ao refugo no cálculo da qualidade.</t>
        </is>
      </c>
    </row>
    <row r="19" ht="32" customHeight="1">
      <c r="A19" s="4" t="inlineStr">
        <is>
          <t>• Paradas de classe Planejada (ex.: falta de pedido) saem do tempo planejado; as Não planejadas reduzem o tempo operando.</t>
        </is>
      </c>
    </row>
    <row r="20" ht="18" customHeight="1">
      <c r="A20" s="4" t="inlineStr">
        <is>
          <t>• Minuto parado não apontado não some: reaparece como perda de desempenho (resíduo no Pareto).</t>
        </is>
      </c>
    </row>
    <row r="21">
      <c r="A21" s="3" t="inlineStr">
        <is>
          <t>Travas</t>
        </is>
      </c>
    </row>
    <row r="22" ht="32" customHeight="1">
      <c r="A22" s="4" t="inlineStr">
        <is>
          <t>• Crítica = ERRO quando as paradas não planejadas superam o tempo planejado (parada em turno errado, eventos sobrepostos).</t>
        </is>
      </c>
    </row>
    <row r="23" ht="18" customHeight="1">
      <c r="A23" s="4" t="inlineStr">
        <is>
          <t>• Desempenho acima de 100% acende em vermelho: é cadastro, contagem ou tempo operando errado, não orgulho.</t>
        </is>
      </c>
    </row>
    <row r="24" ht="18" customHeight="1">
      <c r="A24" s="4" t="inlineStr">
        <is>
          <t>• Status = NÃO PUBLICAR enquanto a diferença entre as duas vias não for zero.</t>
        </is>
      </c>
    </row>
    <row r="25">
      <c r="A25" s="3" t="inlineStr">
        <is>
          <t>Limitações</t>
        </is>
      </c>
    </row>
    <row r="26" ht="48" customHeight="1">
      <c r="A26" s="4" t="inlineStr">
        <is>
          <t>• As fórmulas usam intervalos nomeados (até 500 linhas de apontamento, 100 turnos no Cálculo, 20 equipamentos, 20 motivos), e não referências estruturadas de Tabela, para abrir igual no Excel, no LibreOffice e no Google Planilhas. Para mais linhas, amplie os nomes em Fórmulas &gt; Gerenciador de Nomes.</t>
        </is>
      </c>
    </row>
    <row r="27" ht="18" customHeight="1">
      <c r="A27" s="4" t="inlineStr">
        <is>
          <t>• Cadência por produto (linha com mix) não está implementada: o Cadastro tem uma cadência por equipamento.</t>
        </is>
      </c>
    </row>
    <row r="28" ht="32" customHeight="1">
      <c r="A28" s="4" t="inlineStr">
        <is>
          <t>• O gráfico de acompanhamento por turno (OEE e os três fatores na série temporal) não foi incluído porque o exemplo tem um turno só.</t>
        </is>
      </c>
    </row>
    <row r="29">
      <c r="A29" s="3" t="inlineStr">
        <is>
          <t>Números do exemplo</t>
        </is>
      </c>
    </row>
    <row r="30" ht="48" customHeight="1">
      <c r="A30" s="4" t="inlineStr">
        <is>
          <t>Montados para o artigo, no formato do Kit TPM da Voitto. São ilustrativos e internamente consistentes, e não descrevem um equipamento real. Data, horários e detalhes das paradas são fictícios; minutos, produção e refugo são os do artigo.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5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34" customWidth="1" min="2" max="2"/>
    <col width="13" customWidth="1" min="3" max="3"/>
    <col width="11" customWidth="1" min="4" max="4"/>
    <col width="14" customWidth="1" min="5" max="5"/>
    <col width="12" customWidth="1" min="6" max="6"/>
    <col width="13" customWidth="1" min="7" max="7"/>
    <col width="15" customWidth="1" min="8" max="8"/>
    <col width="12" customWidth="1" min="9" max="9"/>
    <col width="12" customWidth="1" min="10" max="10"/>
    <col width="70" customWidth="1" min="11" max="11"/>
  </cols>
  <sheetData>
    <row r="1">
      <c r="A1" s="1" t="inlineStr">
        <is>
          <t>Cadastro de equipamentos e definição do tempo planejado</t>
        </is>
      </c>
    </row>
    <row r="2">
      <c r="A2" s="2" t="inlineStr">
        <is>
          <t>Voitto · blog.voitto.com.br · Modelo de OEE em Excel: o cálculo decomposto</t>
        </is>
      </c>
    </row>
    <row r="3">
      <c r="A3" s="5" t="inlineStr">
        <is>
          <t>Entrada (você digita)</t>
        </is>
      </c>
      <c r="B3" s="6" t="inlineStr">
        <is>
          <t>Fórmula (não editar)</t>
        </is>
      </c>
      <c r="C3" s="7" t="inlineStr">
        <is>
          <t>Resultado-chave</t>
        </is>
      </c>
    </row>
    <row r="4">
      <c r="A4" s="8" t="inlineStr">
        <is>
          <t>A definição do denominador fica escrita aqui, antes, e não muda no meio do ano. Se mudar, recalcule a série anterior ou marque-a como quebrada.</t>
        </is>
      </c>
    </row>
    <row r="5" ht="45" customHeight="1">
      <c r="A5" s="9" t="inlineStr">
        <is>
          <t>Equipamento</t>
        </is>
      </c>
      <c r="B5" s="9" t="inlineStr">
        <is>
          <t>Descrição</t>
        </is>
      </c>
      <c r="C5" s="9" t="inlineStr">
        <is>
          <t>Cadência nominal (pç/min)</t>
        </is>
      </c>
      <c r="D5" s="9" t="inlineStr">
        <is>
          <t>Ciclo ideal (s/pç)</t>
        </is>
      </c>
      <c r="E5" s="9" t="inlineStr">
        <is>
          <t>Tempo calendário por turno (min)</t>
        </is>
      </c>
      <c r="F5" s="9" t="inlineStr">
        <is>
          <t>Refeição e intervalo (min)</t>
        </is>
      </c>
      <c r="G5" s="9" t="inlineStr">
        <is>
          <t>Reunião de início de turno (min)</t>
        </is>
      </c>
      <c r="H5" s="9" t="inlineStr">
        <is>
          <t>Preventiva programada excluída (min)</t>
        </is>
      </c>
      <c r="I5" s="9" t="inlineStr">
        <is>
          <t>Outras exclusões fixas (min)</t>
        </is>
      </c>
      <c r="J5" s="9" t="inlineStr">
        <is>
          <t>Tempo planejado (min)</t>
        </is>
      </c>
      <c r="K5" s="9" t="inlineStr">
        <is>
          <t>Definição do tempo planejado</t>
        </is>
      </c>
    </row>
    <row r="6">
      <c r="A6" s="10" t="inlineStr">
        <is>
          <t>ENV-01</t>
        </is>
      </c>
      <c r="B6" s="10" t="inlineStr">
        <is>
          <t>Linha de envase 1 (EXEMPLO do artigo)</t>
        </is>
      </c>
      <c r="C6" s="10" t="n">
        <v>60</v>
      </c>
      <c r="D6" s="11">
        <f>IF(ISNUMBER(C6),60/C6,"")</f>
        <v/>
      </c>
      <c r="E6" s="10" t="n">
        <v>480</v>
      </c>
      <c r="F6" s="10" t="n">
        <v>40</v>
      </c>
      <c r="G6" s="10" t="n">
        <v>10</v>
      </c>
      <c r="H6" s="10" t="n">
        <v>0</v>
      </c>
      <c r="I6" s="10" t="n">
        <v>0</v>
      </c>
      <c r="J6" s="12">
        <f>IF(ISNUMBER(E6),E6-SUM(F6:I6),"")</f>
        <v/>
      </c>
      <c r="K6" s="10" t="inlineStr">
        <is>
          <t>Calendário de 480 min menos refeição (40) e reunião de início de turno (10). Setup, falta de material e preventiva ficam DENTRO do tempo planejado (padrão TPM).</t>
        </is>
      </c>
    </row>
    <row r="7">
      <c r="A7" s="10" t="n"/>
      <c r="B7" s="10" t="n"/>
      <c r="C7" s="10" t="n"/>
      <c r="D7" s="11">
        <f>IF(ISNUMBER(C7),60/C7,"")</f>
        <v/>
      </c>
      <c r="E7" s="10" t="n"/>
      <c r="F7" s="10" t="n"/>
      <c r="G7" s="10" t="n"/>
      <c r="H7" s="10" t="n"/>
      <c r="I7" s="10" t="n"/>
      <c r="J7" s="12">
        <f>IF(ISNUMBER(E7),E7-SUM(F7:I7),"")</f>
        <v/>
      </c>
      <c r="K7" s="10" t="n"/>
    </row>
    <row r="8">
      <c r="A8" s="10" t="n"/>
      <c r="B8" s="10" t="n"/>
      <c r="C8" s="10" t="n"/>
      <c r="D8" s="11">
        <f>IF(ISNUMBER(C8),60/C8,"")</f>
        <v/>
      </c>
      <c r="E8" s="10" t="n"/>
      <c r="F8" s="10" t="n"/>
      <c r="G8" s="10" t="n"/>
      <c r="H8" s="10" t="n"/>
      <c r="I8" s="10" t="n"/>
      <c r="J8" s="12">
        <f>IF(ISNUMBER(E8),E8-SUM(F8:I8),"")</f>
        <v/>
      </c>
      <c r="K8" s="10" t="n"/>
    </row>
    <row r="9">
      <c r="A9" s="10" t="n"/>
      <c r="B9" s="10" t="n"/>
      <c r="C9" s="10" t="n"/>
      <c r="D9" s="11">
        <f>IF(ISNUMBER(C9),60/C9,"")</f>
        <v/>
      </c>
      <c r="E9" s="10" t="n"/>
      <c r="F9" s="10" t="n"/>
      <c r="G9" s="10" t="n"/>
      <c r="H9" s="10" t="n"/>
      <c r="I9" s="10" t="n"/>
      <c r="J9" s="12">
        <f>IF(ISNUMBER(E9),E9-SUM(F9:I9),"")</f>
        <v/>
      </c>
      <c r="K9" s="10" t="n"/>
    </row>
    <row r="10">
      <c r="A10" s="10" t="n"/>
      <c r="B10" s="10" t="n"/>
      <c r="C10" s="10" t="n"/>
      <c r="D10" s="11">
        <f>IF(ISNUMBER(C10),60/C10,"")</f>
        <v/>
      </c>
      <c r="E10" s="10" t="n"/>
      <c r="F10" s="10" t="n"/>
      <c r="G10" s="10" t="n"/>
      <c r="H10" s="10" t="n"/>
      <c r="I10" s="10" t="n"/>
      <c r="J10" s="12">
        <f>IF(ISNUMBER(E10),E10-SUM(F10:I10),"")</f>
        <v/>
      </c>
      <c r="K10" s="10" t="n"/>
    </row>
    <row r="11">
      <c r="A11" s="10" t="n"/>
      <c r="B11" s="10" t="n"/>
      <c r="C11" s="10" t="n"/>
      <c r="D11" s="11">
        <f>IF(ISNUMBER(C11),60/C11,"")</f>
        <v/>
      </c>
      <c r="E11" s="10" t="n"/>
      <c r="F11" s="10" t="n"/>
      <c r="G11" s="10" t="n"/>
      <c r="H11" s="10" t="n"/>
      <c r="I11" s="10" t="n"/>
      <c r="J11" s="12">
        <f>IF(ISNUMBER(E11),E11-SUM(F11:I11),"")</f>
        <v/>
      </c>
      <c r="K11" s="10" t="n"/>
    </row>
    <row r="12">
      <c r="A12" s="10" t="n"/>
      <c r="B12" s="10" t="n"/>
      <c r="C12" s="10" t="n"/>
      <c r="D12" s="11">
        <f>IF(ISNUMBER(C12),60/C12,"")</f>
        <v/>
      </c>
      <c r="E12" s="10" t="n"/>
      <c r="F12" s="10" t="n"/>
      <c r="G12" s="10" t="n"/>
      <c r="H12" s="10" t="n"/>
      <c r="I12" s="10" t="n"/>
      <c r="J12" s="12">
        <f>IF(ISNUMBER(E12),E12-SUM(F12:I12),"")</f>
        <v/>
      </c>
      <c r="K12" s="10" t="n"/>
    </row>
    <row r="13">
      <c r="A13" s="10" t="n"/>
      <c r="B13" s="10" t="n"/>
      <c r="C13" s="10" t="n"/>
      <c r="D13" s="11">
        <f>IF(ISNUMBER(C13),60/C13,"")</f>
        <v/>
      </c>
      <c r="E13" s="10" t="n"/>
      <c r="F13" s="10" t="n"/>
      <c r="G13" s="10" t="n"/>
      <c r="H13" s="10" t="n"/>
      <c r="I13" s="10" t="n"/>
      <c r="J13" s="12">
        <f>IF(ISNUMBER(E13),E13-SUM(F13:I13),"")</f>
        <v/>
      </c>
      <c r="K13" s="10" t="n"/>
    </row>
    <row r="14">
      <c r="A14" s="10" t="n"/>
      <c r="B14" s="10" t="n"/>
      <c r="C14" s="10" t="n"/>
      <c r="D14" s="11">
        <f>IF(ISNUMBER(C14),60/C14,"")</f>
        <v/>
      </c>
      <c r="E14" s="10" t="n"/>
      <c r="F14" s="10" t="n"/>
      <c r="G14" s="10" t="n"/>
      <c r="H14" s="10" t="n"/>
      <c r="I14" s="10" t="n"/>
      <c r="J14" s="12">
        <f>IF(ISNUMBER(E14),E14-SUM(F14:I14),"")</f>
        <v/>
      </c>
      <c r="K14" s="10" t="n"/>
    </row>
    <row r="15">
      <c r="A15" s="10" t="n"/>
      <c r="B15" s="10" t="n"/>
      <c r="C15" s="10" t="n"/>
      <c r="D15" s="11">
        <f>IF(ISNUMBER(C15),60/C15,"")</f>
        <v/>
      </c>
      <c r="E15" s="10" t="n"/>
      <c r="F15" s="10" t="n"/>
      <c r="G15" s="10" t="n"/>
      <c r="H15" s="10" t="n"/>
      <c r="I15" s="10" t="n"/>
      <c r="J15" s="12">
        <f>IF(ISNUMBER(E15),E15-SUM(F15:I15),"")</f>
        <v/>
      </c>
      <c r="K15" s="10" t="n"/>
    </row>
    <row r="16">
      <c r="A16" s="10" t="n"/>
      <c r="B16" s="10" t="n"/>
      <c r="C16" s="10" t="n"/>
      <c r="D16" s="11">
        <f>IF(ISNUMBER(C16),60/C16,"")</f>
        <v/>
      </c>
      <c r="E16" s="10" t="n"/>
      <c r="F16" s="10" t="n"/>
      <c r="G16" s="10" t="n"/>
      <c r="H16" s="10" t="n"/>
      <c r="I16" s="10" t="n"/>
      <c r="J16" s="12">
        <f>IF(ISNUMBER(E16),E16-SUM(F16:I16),"")</f>
        <v/>
      </c>
      <c r="K16" s="10" t="n"/>
    </row>
    <row r="17">
      <c r="A17" s="10" t="n"/>
      <c r="B17" s="10" t="n"/>
      <c r="C17" s="10" t="n"/>
      <c r="D17" s="11">
        <f>IF(ISNUMBER(C17),60/C17,"")</f>
        <v/>
      </c>
      <c r="E17" s="10" t="n"/>
      <c r="F17" s="10" t="n"/>
      <c r="G17" s="10" t="n"/>
      <c r="H17" s="10" t="n"/>
      <c r="I17" s="10" t="n"/>
      <c r="J17" s="12">
        <f>IF(ISNUMBER(E17),E17-SUM(F17:I17),"")</f>
        <v/>
      </c>
      <c r="K17" s="10" t="n"/>
    </row>
    <row r="18">
      <c r="A18" s="10" t="n"/>
      <c r="B18" s="10" t="n"/>
      <c r="C18" s="10" t="n"/>
      <c r="D18" s="11">
        <f>IF(ISNUMBER(C18),60/C18,"")</f>
        <v/>
      </c>
      <c r="E18" s="10" t="n"/>
      <c r="F18" s="10" t="n"/>
      <c r="G18" s="10" t="n"/>
      <c r="H18" s="10" t="n"/>
      <c r="I18" s="10" t="n"/>
      <c r="J18" s="12">
        <f>IF(ISNUMBER(E18),E18-SUM(F18:I18),"")</f>
        <v/>
      </c>
      <c r="K18" s="10" t="n"/>
    </row>
    <row r="19">
      <c r="A19" s="10" t="n"/>
      <c r="B19" s="10" t="n"/>
      <c r="C19" s="10" t="n"/>
      <c r="D19" s="11">
        <f>IF(ISNUMBER(C19),60/C19,"")</f>
        <v/>
      </c>
      <c r="E19" s="10" t="n"/>
      <c r="F19" s="10" t="n"/>
      <c r="G19" s="10" t="n"/>
      <c r="H19" s="10" t="n"/>
      <c r="I19" s="10" t="n"/>
      <c r="J19" s="12">
        <f>IF(ISNUMBER(E19),E19-SUM(F19:I19),"")</f>
        <v/>
      </c>
      <c r="K19" s="10" t="n"/>
    </row>
    <row r="20">
      <c r="A20" s="10" t="n"/>
      <c r="B20" s="10" t="n"/>
      <c r="C20" s="10" t="n"/>
      <c r="D20" s="11">
        <f>IF(ISNUMBER(C20),60/C20,"")</f>
        <v/>
      </c>
      <c r="E20" s="10" t="n"/>
      <c r="F20" s="10" t="n"/>
      <c r="G20" s="10" t="n"/>
      <c r="H20" s="10" t="n"/>
      <c r="I20" s="10" t="n"/>
      <c r="J20" s="12">
        <f>IF(ISNUMBER(E20),E20-SUM(F20:I20),"")</f>
        <v/>
      </c>
      <c r="K20" s="10" t="n"/>
    </row>
    <row r="21">
      <c r="A21" s="10" t="n"/>
      <c r="B21" s="10" t="n"/>
      <c r="C21" s="10" t="n"/>
      <c r="D21" s="11">
        <f>IF(ISNUMBER(C21),60/C21,"")</f>
        <v/>
      </c>
      <c r="E21" s="10" t="n"/>
      <c r="F21" s="10" t="n"/>
      <c r="G21" s="10" t="n"/>
      <c r="H21" s="10" t="n"/>
      <c r="I21" s="10" t="n"/>
      <c r="J21" s="12">
        <f>IF(ISNUMBER(E21),E21-SUM(F21:I21),"")</f>
        <v/>
      </c>
      <c r="K21" s="10" t="n"/>
    </row>
    <row r="22">
      <c r="A22" s="10" t="n"/>
      <c r="B22" s="10" t="n"/>
      <c r="C22" s="10" t="n"/>
      <c r="D22" s="11">
        <f>IF(ISNUMBER(C22),60/C22,"")</f>
        <v/>
      </c>
      <c r="E22" s="10" t="n"/>
      <c r="F22" s="10" t="n"/>
      <c r="G22" s="10" t="n"/>
      <c r="H22" s="10" t="n"/>
      <c r="I22" s="10" t="n"/>
      <c r="J22" s="12">
        <f>IF(ISNUMBER(E22),E22-SUM(F22:I22),"")</f>
        <v/>
      </c>
      <c r="K22" s="10" t="n"/>
    </row>
    <row r="23">
      <c r="A23" s="10" t="n"/>
      <c r="B23" s="10" t="n"/>
      <c r="C23" s="10" t="n"/>
      <c r="D23" s="11">
        <f>IF(ISNUMBER(C23),60/C23,"")</f>
        <v/>
      </c>
      <c r="E23" s="10" t="n"/>
      <c r="F23" s="10" t="n"/>
      <c r="G23" s="10" t="n"/>
      <c r="H23" s="10" t="n"/>
      <c r="I23" s="10" t="n"/>
      <c r="J23" s="12">
        <f>IF(ISNUMBER(E23),E23-SUM(F23:I23),"")</f>
        <v/>
      </c>
      <c r="K23" s="10" t="n"/>
    </row>
    <row r="24">
      <c r="A24" s="10" t="n"/>
      <c r="B24" s="10" t="n"/>
      <c r="C24" s="10" t="n"/>
      <c r="D24" s="11">
        <f>IF(ISNUMBER(C24),60/C24,"")</f>
        <v/>
      </c>
      <c r="E24" s="10" t="n"/>
      <c r="F24" s="10" t="n"/>
      <c r="G24" s="10" t="n"/>
      <c r="H24" s="10" t="n"/>
      <c r="I24" s="10" t="n"/>
      <c r="J24" s="12">
        <f>IF(ISNUMBER(E24),E24-SUM(F24:I24),"")</f>
        <v/>
      </c>
      <c r="K24" s="10" t="n"/>
    </row>
    <row r="25">
      <c r="A25" s="10" t="n"/>
      <c r="B25" s="10" t="n"/>
      <c r="C25" s="10" t="n"/>
      <c r="D25" s="11">
        <f>IF(ISNUMBER(C25),60/C25,"")</f>
        <v/>
      </c>
      <c r="E25" s="10" t="n"/>
      <c r="F25" s="10" t="n"/>
      <c r="G25" s="10" t="n"/>
      <c r="H25" s="10" t="n"/>
      <c r="I25" s="10" t="n"/>
      <c r="J25" s="12">
        <f>IF(ISNUMBER(E25),E25-SUM(F25:I25),"")</f>
        <v/>
      </c>
      <c r="K25" s="10" t="n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40" customWidth="1" min="2" max="2"/>
    <col width="15" customWidth="1" min="3" max="3"/>
    <col width="16" customWidth="1" min="4" max="4"/>
    <col width="34" customWidth="1" min="5" max="5"/>
    <col width="60" customWidth="1" min="6" max="6"/>
  </cols>
  <sheetData>
    <row r="1">
      <c r="A1" s="1" t="inlineStr">
        <is>
          <t>Motivos de parada (lista fechada, 12 a 20 códigos)</t>
        </is>
      </c>
    </row>
    <row r="2">
      <c r="A2" s="2" t="inlineStr">
        <is>
          <t>Voitto · blog.voitto.com.br · Modelo de OEE em Excel: o cálculo decomposto</t>
        </is>
      </c>
    </row>
    <row r="3">
      <c r="A3" s="5" t="inlineStr">
        <is>
          <t>Entrada (você digita)</t>
        </is>
      </c>
      <c r="B3" s="6" t="inlineStr">
        <is>
          <t>Fórmula (não editar)</t>
        </is>
      </c>
      <c r="C3" s="7" t="inlineStr">
        <is>
          <t>Resultado-chave</t>
        </is>
      </c>
    </row>
    <row r="4">
      <c r="A4" s="8" t="inlineStr">
        <is>
          <t>Quando 'Outros' (999) passar de 10% do tempo parado, a lista está errada, não o operador.</t>
        </is>
      </c>
    </row>
    <row r="5">
      <c r="A5" s="9" t="inlineStr">
        <is>
          <t>Código</t>
        </is>
      </c>
      <c r="B5" s="9" t="inlineStr">
        <is>
          <t>Descrição</t>
        </is>
      </c>
      <c r="C5" s="9" t="inlineStr">
        <is>
          <t>Classe</t>
        </is>
      </c>
      <c r="D5" s="9" t="inlineStr">
        <is>
          <t>Fator afetado</t>
        </is>
      </c>
      <c r="E5" s="9" t="inlineStr">
        <is>
          <t>Grande perda (TPM)</t>
        </is>
      </c>
      <c r="F5" s="9" t="inlineStr">
        <is>
          <t>Dono</t>
        </is>
      </c>
    </row>
    <row r="6">
      <c r="A6" s="10" t="n">
        <v>101</v>
      </c>
      <c r="B6" s="10" t="inlineStr">
        <is>
          <t>Falha elétrica</t>
        </is>
      </c>
      <c r="C6" s="10" t="inlineStr">
        <is>
          <t>Não planejada</t>
        </is>
      </c>
      <c r="D6" s="10" t="inlineStr">
        <is>
          <t>Disponibilidade</t>
        </is>
      </c>
      <c r="E6" s="10" t="inlineStr">
        <is>
          <t>Quebra e falha</t>
        </is>
      </c>
      <c r="F6" s="10" t="inlineStr">
        <is>
          <t>Manutenção elétrica</t>
        </is>
      </c>
    </row>
    <row r="7">
      <c r="A7" s="10" t="n">
        <v>102</v>
      </c>
      <c r="B7" s="10" t="inlineStr">
        <is>
          <t>Falha pneumática ou hidráulica</t>
        </is>
      </c>
      <c r="C7" s="10" t="inlineStr">
        <is>
          <t>Não planejada</t>
        </is>
      </c>
      <c r="D7" s="10" t="inlineStr">
        <is>
          <t>Disponibilidade</t>
        </is>
      </c>
      <c r="E7" s="10" t="inlineStr">
        <is>
          <t>Quebra e falha</t>
        </is>
      </c>
      <c r="F7" s="10" t="inlineStr">
        <is>
          <t>Manutenção mecânica</t>
        </is>
      </c>
    </row>
    <row r="8">
      <c r="A8" s="10" t="n">
        <v>103</v>
      </c>
      <c r="B8" s="10" t="inlineStr">
        <is>
          <t>Falha de sensor ou automação</t>
        </is>
      </c>
      <c r="C8" s="10" t="inlineStr">
        <is>
          <t>Não planejada</t>
        </is>
      </c>
      <c r="D8" s="10" t="inlineStr">
        <is>
          <t>Disponibilidade</t>
        </is>
      </c>
      <c r="E8" s="10" t="inlineStr">
        <is>
          <t>Quebra e falha</t>
        </is>
      </c>
      <c r="F8" s="10" t="inlineStr">
        <is>
          <t>Automação</t>
        </is>
      </c>
    </row>
    <row r="9">
      <c r="A9" s="10" t="n">
        <v>104</v>
      </c>
      <c r="B9" s="10" t="inlineStr">
        <is>
          <t>Falha mecânica na esteira de saída</t>
        </is>
      </c>
      <c r="C9" s="10" t="inlineStr">
        <is>
          <t>Não planejada</t>
        </is>
      </c>
      <c r="D9" s="10" t="inlineStr">
        <is>
          <t>Disponibilidade</t>
        </is>
      </c>
      <c r="E9" s="10" t="inlineStr">
        <is>
          <t>Quebra e falha</t>
        </is>
      </c>
      <c r="F9" s="10" t="inlineStr">
        <is>
          <t>Manutenção mecânica</t>
        </is>
      </c>
    </row>
    <row r="10">
      <c r="A10" s="10" t="n">
        <v>201</v>
      </c>
      <c r="B10" s="10" t="inlineStr">
        <is>
          <t>Setup e troca de formato</t>
        </is>
      </c>
      <c r="C10" s="10" t="inlineStr">
        <is>
          <t>Não planejada</t>
        </is>
      </c>
      <c r="D10" s="10" t="inlineStr">
        <is>
          <t>Disponibilidade</t>
        </is>
      </c>
      <c r="E10" s="10" t="inlineStr">
        <is>
          <t>Setup e ajuste</t>
        </is>
      </c>
      <c r="F10" s="10" t="inlineStr">
        <is>
          <t>Engenharia de processo</t>
        </is>
      </c>
    </row>
    <row r="11">
      <c r="A11" s="10" t="n">
        <v>202</v>
      </c>
      <c r="B11" s="10" t="inlineStr">
        <is>
          <t>Troca de ferramenta ou bico</t>
        </is>
      </c>
      <c r="C11" s="10" t="inlineStr">
        <is>
          <t>Não planejada</t>
        </is>
      </c>
      <c r="D11" s="10" t="inlineStr">
        <is>
          <t>Disponibilidade</t>
        </is>
      </c>
      <c r="E11" s="10" t="inlineStr">
        <is>
          <t>Setup e ajuste</t>
        </is>
      </c>
      <c r="F11" s="10" t="inlineStr">
        <is>
          <t>Engenharia de processo</t>
        </is>
      </c>
    </row>
    <row r="12">
      <c r="A12" s="10" t="n">
        <v>205</v>
      </c>
      <c r="B12" s="10" t="inlineStr">
        <is>
          <t>Ajuste de processo (peso de envase)</t>
        </is>
      </c>
      <c r="C12" s="10" t="inlineStr">
        <is>
          <t>Não planejada</t>
        </is>
      </c>
      <c r="D12" s="10" t="inlineStr">
        <is>
          <t>Disponibilidade</t>
        </is>
      </c>
      <c r="E12" s="10" t="inlineStr">
        <is>
          <t>Setup e ajuste</t>
        </is>
      </c>
      <c r="F12" s="10" t="inlineStr">
        <is>
          <t>Qualidade</t>
        </is>
      </c>
    </row>
    <row r="13">
      <c r="A13" s="10" t="n">
        <v>206</v>
      </c>
      <c r="B13" s="10" t="inlineStr">
        <is>
          <t>Limpeza não programada</t>
        </is>
      </c>
      <c r="C13" s="10" t="inlineStr">
        <is>
          <t>Não planejada</t>
        </is>
      </c>
      <c r="D13" s="10" t="inlineStr">
        <is>
          <t>Disponibilidade</t>
        </is>
      </c>
      <c r="E13" s="10" t="inlineStr">
        <is>
          <t>Setup e ajuste</t>
        </is>
      </c>
      <c r="F13" s="10" t="inlineStr">
        <is>
          <t>Produção</t>
        </is>
      </c>
    </row>
    <row r="14">
      <c r="A14" s="10" t="n">
        <v>301</v>
      </c>
      <c r="B14" s="10" t="inlineStr">
        <is>
          <t>Falta de operador</t>
        </is>
      </c>
      <c r="C14" s="10" t="inlineStr">
        <is>
          <t>Não planejada</t>
        </is>
      </c>
      <c r="D14" s="10" t="inlineStr">
        <is>
          <t>Disponibilidade</t>
        </is>
      </c>
      <c r="E14" s="10" t="inlineStr">
        <is>
          <t>Quebra e falha (organizacional)</t>
        </is>
      </c>
      <c r="F14" s="10" t="inlineStr">
        <is>
          <t>Produção</t>
        </is>
      </c>
    </row>
    <row r="15">
      <c r="A15" s="10" t="n">
        <v>302</v>
      </c>
      <c r="B15" s="10" t="inlineStr">
        <is>
          <t>Falta de material (pré-forma)</t>
        </is>
      </c>
      <c r="C15" s="10" t="inlineStr">
        <is>
          <t>Não planejada</t>
        </is>
      </c>
      <c r="D15" s="10" t="inlineStr">
        <is>
          <t>Disponibilidade</t>
        </is>
      </c>
      <c r="E15" s="10" t="inlineStr">
        <is>
          <t>Quebra e falha (cadeia)</t>
        </is>
      </c>
      <c r="F15" s="10" t="inlineStr">
        <is>
          <t>PCP / Suprimentos</t>
        </is>
      </c>
    </row>
    <row r="16">
      <c r="A16" s="10" t="n">
        <v>303</v>
      </c>
      <c r="B16" s="10" t="inlineStr">
        <is>
          <t>Falta de utilidade (ar, energia, água)</t>
        </is>
      </c>
      <c r="C16" s="10" t="inlineStr">
        <is>
          <t>Não planejada</t>
        </is>
      </c>
      <c r="D16" s="10" t="inlineStr">
        <is>
          <t>Disponibilidade</t>
        </is>
      </c>
      <c r="E16" s="10" t="inlineStr">
        <is>
          <t>Quebra e falha</t>
        </is>
      </c>
      <c r="F16" s="10" t="inlineStr">
        <is>
          <t>Utilidades</t>
        </is>
      </c>
    </row>
    <row r="17">
      <c r="A17" s="10" t="n">
        <v>401</v>
      </c>
      <c r="B17" s="10" t="inlineStr">
        <is>
          <t>Pequenas paradas registradas</t>
        </is>
      </c>
      <c r="C17" s="10" t="inlineStr">
        <is>
          <t>Não planejada</t>
        </is>
      </c>
      <c r="D17" s="10" t="inlineStr">
        <is>
          <t>Disponibilidade</t>
        </is>
      </c>
      <c r="E17" s="10" t="inlineStr">
        <is>
          <t>Pequena parada e ociosidade</t>
        </is>
      </c>
      <c r="F17" s="10" t="inlineStr">
        <is>
          <t>Produção</t>
        </is>
      </c>
    </row>
    <row r="18">
      <c r="A18" s="10" t="n">
        <v>501</v>
      </c>
      <c r="B18" s="10" t="inlineStr">
        <is>
          <t>Manutenção preventiva programada</t>
        </is>
      </c>
      <c r="C18" s="10" t="inlineStr">
        <is>
          <t>Não planejada</t>
        </is>
      </c>
      <c r="D18" s="10" t="inlineStr">
        <is>
          <t>Disponibilidade</t>
        </is>
      </c>
      <c r="E18" s="10" t="inlineStr">
        <is>
          <t>Setup e ajuste</t>
        </is>
      </c>
      <c r="F18" s="10" t="inlineStr">
        <is>
          <t>Manutenção (mantida no tempo planejado; mude a classe para Planejada se a sua definição a excluir)</t>
        </is>
      </c>
    </row>
    <row r="19">
      <c r="A19" s="10" t="n">
        <v>502</v>
      </c>
      <c r="B19" s="10" t="inlineStr">
        <is>
          <t>Falta de pedido</t>
        </is>
      </c>
      <c r="C19" s="10" t="inlineStr">
        <is>
          <t>Planejada</t>
        </is>
      </c>
      <c r="D19" s="10" t="inlineStr">
        <is>
          <t>Fora do OEE</t>
        </is>
      </c>
      <c r="E19" s="10" t="inlineStr">
        <is>
          <t>Perda comercial (registrada à parte)</t>
        </is>
      </c>
      <c r="F19" s="10" t="inlineStr">
        <is>
          <t>Comercial</t>
        </is>
      </c>
    </row>
    <row r="20">
      <c r="A20" s="10" t="n">
        <v>503</v>
      </c>
      <c r="B20" s="10" t="inlineStr">
        <is>
          <t>Teste de engenharia programado</t>
        </is>
      </c>
      <c r="C20" s="10" t="inlineStr">
        <is>
          <t>Planejada</t>
        </is>
      </c>
      <c r="D20" s="10" t="inlineStr">
        <is>
          <t>Fora do OEE</t>
        </is>
      </c>
      <c r="E20" s="10" t="inlineStr">
        <is>
          <t>Decisão de não produzir</t>
        </is>
      </c>
      <c r="F20" s="10" t="inlineStr">
        <is>
          <t>Engenharia</t>
        </is>
      </c>
    </row>
    <row r="21">
      <c r="A21" s="10" t="n">
        <v>999</v>
      </c>
      <c r="B21" s="10" t="inlineStr">
        <is>
          <t>Outros (descrever no Detalhe)</t>
        </is>
      </c>
      <c r="C21" s="10" t="inlineStr">
        <is>
          <t>Não planejada</t>
        </is>
      </c>
      <c r="D21" s="10" t="inlineStr">
        <is>
          <t>Disponibilidade</t>
        </is>
      </c>
      <c r="E21" s="10" t="inlineStr">
        <is>
          <t>Não classificada</t>
        </is>
      </c>
      <c r="F21" s="10" t="inlineStr">
        <is>
          <t>Supervisor do turno</t>
        </is>
      </c>
    </row>
    <row r="22">
      <c r="A22" s="10" t="n"/>
      <c r="B22" s="10" t="n"/>
      <c r="C22" s="10" t="n"/>
      <c r="D22" s="10" t="n"/>
      <c r="E22" s="10" t="n"/>
      <c r="F22" s="10" t="n"/>
    </row>
    <row r="23">
      <c r="A23" s="10" t="n"/>
      <c r="B23" s="10" t="n"/>
      <c r="C23" s="10" t="n"/>
      <c r="D23" s="10" t="n"/>
      <c r="E23" s="10" t="n"/>
      <c r="F23" s="10" t="n"/>
    </row>
    <row r="24">
      <c r="A24" s="10" t="n"/>
      <c r="B24" s="10" t="n"/>
      <c r="C24" s="10" t="n"/>
      <c r="D24" s="10" t="n"/>
      <c r="E24" s="10" t="n"/>
      <c r="F24" s="10" t="n"/>
    </row>
    <row r="25">
      <c r="A25" s="10" t="n"/>
      <c r="B25" s="10" t="n"/>
      <c r="C25" s="10" t="n"/>
      <c r="D25" s="10" t="n"/>
      <c r="E25" s="10" t="n"/>
      <c r="F25" s="10" t="n"/>
    </row>
  </sheetData>
  <dataValidations count="1">
    <dataValidation sqref="C6:C25" showDropDown="0" showInputMessage="0" showErrorMessage="0" allowBlank="0" type="list">
      <formula1>"Planejada,Não planejada"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505"/>
  <sheetViews>
    <sheetView showGridLines="0"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7" customWidth="1" min="2" max="2"/>
    <col width="12" customWidth="1" min="3" max="3"/>
    <col width="9" customWidth="1" min="4" max="4"/>
    <col width="9" customWidth="1" min="5" max="5"/>
    <col width="10" customWidth="1" min="6" max="6"/>
    <col width="10" customWidth="1" min="7" max="7"/>
    <col width="14" customWidth="1" min="8" max="8"/>
    <col width="44" customWidth="1" min="9" max="9"/>
    <col width="12" customWidth="1" min="10" max="10"/>
    <col width="10" customWidth="1" min="11" max="11"/>
    <col width="16" customWidth="1" min="12" max="12"/>
    <col width="11" customWidth="1" min="13" max="13"/>
    <col width="11" customWidth="1" min="14" max="14"/>
    <col width="34" customWidth="1" min="15" max="15"/>
    <col width="11" customWidth="1" min="16" max="16"/>
  </cols>
  <sheetData>
    <row r="1">
      <c r="A1" s="1" t="inlineStr">
        <is>
          <t>Apontamento: uma linha por parada e uma linha por fechamento de turno</t>
        </is>
      </c>
    </row>
    <row r="2">
      <c r="A2" s="2" t="inlineStr">
        <is>
          <t>Voitto · blog.voitto.com.br · Modelo de OEE em Excel: o cálculo decomposto</t>
        </is>
      </c>
    </row>
    <row r="3">
      <c r="A3" s="5" t="inlineStr">
        <is>
          <t>Entrada (você digita)</t>
        </is>
      </c>
      <c r="B3" s="6" t="inlineStr">
        <is>
          <t>Fórmula (não editar)</t>
        </is>
      </c>
      <c r="C3" s="7" t="inlineStr">
        <is>
          <t>Resultado-chave</t>
        </is>
      </c>
      <c r="E3" s="8" t="inlineStr">
        <is>
          <t>EXEMPLO do artigo (turno A, linha de envase). Registre no evento, com hora de início e fim. A única aba em que alguém digita.</t>
        </is>
      </c>
    </row>
    <row r="5" ht="45" customHeight="1">
      <c r="A5" s="9" t="inlineStr">
        <is>
          <t>Data</t>
        </is>
      </c>
      <c r="B5" s="9" t="inlineStr">
        <is>
          <t>Turno</t>
        </is>
      </c>
      <c r="C5" s="9" t="inlineStr">
        <is>
          <t>Equipamento</t>
        </is>
      </c>
      <c r="D5" s="9" t="inlineStr">
        <is>
          <t>Hora início</t>
        </is>
      </c>
      <c r="E5" s="9" t="inlineStr">
        <is>
          <t>Hora fim</t>
        </is>
      </c>
      <c r="F5" s="9" t="inlineStr">
        <is>
          <t>Duração (min)</t>
        </is>
      </c>
      <c r="G5" s="9" t="inlineStr">
        <is>
          <t>Código do motivo</t>
        </is>
      </c>
      <c r="H5" s="9" t="inlineStr">
        <is>
          <t>Classe</t>
        </is>
      </c>
      <c r="I5" s="9" t="inlineStr">
        <is>
          <t>Detalhe</t>
        </is>
      </c>
      <c r="J5" s="9" t="inlineStr">
        <is>
          <t>Produzido (pç)</t>
        </is>
      </c>
      <c r="K5" s="9" t="inlineStr">
        <is>
          <t>Refugo (pç)</t>
        </is>
      </c>
      <c r="L5" s="9" t="inlineStr">
        <is>
          <t>Refugo de arranque (pç, já incluído no Refugo)</t>
        </is>
      </c>
      <c r="M5" s="9" t="inlineStr">
        <is>
          <t>Retrabalho (pç)</t>
        </is>
      </c>
      <c r="N5" s="9" t="inlineStr">
        <is>
          <t>Duração sem hora (min)</t>
        </is>
      </c>
      <c r="O5" s="9" t="inlineStr">
        <is>
          <t>Motivo (descrição)</t>
        </is>
      </c>
      <c r="P5" s="9" t="inlineStr">
        <is>
          <t>Nº do fechamento</t>
        </is>
      </c>
    </row>
    <row r="6">
      <c r="A6" s="13" t="n">
        <v>46300</v>
      </c>
      <c r="B6" s="10" t="inlineStr">
        <is>
          <t>A</t>
        </is>
      </c>
      <c r="C6" s="10" t="inlineStr">
        <is>
          <t>ENV-01</t>
        </is>
      </c>
      <c r="D6" s="14" t="n">
        <v>0.2583333333333334</v>
      </c>
      <c r="E6" s="14" t="n">
        <v>0.2777777777777778</v>
      </c>
      <c r="F6" s="15">
        <f>IF(AND(ISNUMBER(D6),ISNUMBER(E6)),ROUND(IF(E6&lt;D6,E6+1-D6,E6-D6)*1440,2),IF(ISNUMBER(N6),N6,""))</f>
        <v/>
      </c>
      <c r="G6" s="10" t="n">
        <v>201</v>
      </c>
      <c r="H6" s="6">
        <f>IF(G6="","",IFERROR(VLOOKUP(G6,MOT,3,FALSE),"código inválido"))</f>
        <v/>
      </c>
      <c r="I6" s="10" t="inlineStr">
        <is>
          <t>Troca de formato 500 ml → 1 L</t>
        </is>
      </c>
      <c r="J6" s="16" t="n"/>
      <c r="K6" s="16" t="n"/>
      <c r="L6" s="16" t="n"/>
      <c r="M6" s="16" t="n"/>
      <c r="N6" s="10" t="n"/>
      <c r="O6" s="6">
        <f>IF(G6="","",IFERROR(VLOOKUP(G6,MOT,2,FALSE),"código inválido"))</f>
        <v/>
      </c>
      <c r="P6" s="12">
        <f>IF(ISNUMBER(J6),COUNT(J$6:J6),"")</f>
        <v/>
      </c>
    </row>
    <row r="7">
      <c r="A7" s="13" t="n">
        <v>46300</v>
      </c>
      <c r="B7" s="10" t="inlineStr">
        <is>
          <t>A</t>
        </is>
      </c>
      <c r="C7" s="10" t="inlineStr">
        <is>
          <t>ENV-01</t>
        </is>
      </c>
      <c r="D7" s="14" t="n">
        <v>0.3368055555555556</v>
      </c>
      <c r="E7" s="14" t="n">
        <v>0.35</v>
      </c>
      <c r="F7" s="15">
        <f>IF(AND(ISNUMBER(D7),ISNUMBER(E7)),ROUND(IF(E7&lt;D7,E7+1-D7,E7-D7)*1440,2),IF(ISNUMBER(N7),N7,""))</f>
        <v/>
      </c>
      <c r="G7" s="10" t="n">
        <v>104</v>
      </c>
      <c r="H7" s="6">
        <f>IF(G7="","",IFERROR(VLOOKUP(G7,MOT,3,FALSE),"código inválido"))</f>
        <v/>
      </c>
      <c r="I7" s="10" t="inlineStr">
        <is>
          <t>Rolamento da esteira travou</t>
        </is>
      </c>
      <c r="J7" s="16" t="n"/>
      <c r="K7" s="16" t="n"/>
      <c r="L7" s="16" t="n"/>
      <c r="M7" s="16" t="n"/>
      <c r="N7" s="10" t="n"/>
      <c r="O7" s="6">
        <f>IF(G7="","",IFERROR(VLOOKUP(G7,MOT,2,FALSE),"código inválido"))</f>
        <v/>
      </c>
      <c r="P7" s="12">
        <f>IF(ISNUMBER(J7),COUNT(J$6:J7),"")</f>
        <v/>
      </c>
    </row>
    <row r="8">
      <c r="A8" s="13" t="n">
        <v>46300</v>
      </c>
      <c r="B8" s="10" t="inlineStr">
        <is>
          <t>A</t>
        </is>
      </c>
      <c r="C8" s="10" t="inlineStr">
        <is>
          <t>ENV-01</t>
        </is>
      </c>
      <c r="D8" s="14" t="n">
        <v>0.4381944444444444</v>
      </c>
      <c r="E8" s="14" t="n">
        <v>0.4465277777777778</v>
      </c>
      <c r="F8" s="15">
        <f>IF(AND(ISNUMBER(D8),ISNUMBER(E8)),ROUND(IF(E8&lt;D8,E8+1-D8,E8-D8)*1440,2),IF(ISNUMBER(N8),N8,""))</f>
        <v/>
      </c>
      <c r="G8" s="10" t="n">
        <v>302</v>
      </c>
      <c r="H8" s="6">
        <f>IF(G8="","",IFERROR(VLOOKUP(G8,MOT,3,FALSE),"código inválido"))</f>
        <v/>
      </c>
      <c r="I8" s="10" t="inlineStr">
        <is>
          <t>Pré-forma atrasou do almoxarifado</t>
        </is>
      </c>
      <c r="J8" s="16" t="n"/>
      <c r="K8" s="16" t="n"/>
      <c r="L8" s="16" t="n"/>
      <c r="M8" s="16" t="n"/>
      <c r="N8" s="10" t="n"/>
      <c r="O8" s="6">
        <f>IF(G8="","",IFERROR(VLOOKUP(G8,MOT,2,FALSE),"código inválido"))</f>
        <v/>
      </c>
      <c r="P8" s="12">
        <f>IF(ISNUMBER(J8),COUNT(J$6:J8),"")</f>
        <v/>
      </c>
    </row>
    <row r="9">
      <c r="A9" s="13" t="n">
        <v>46300</v>
      </c>
      <c r="B9" s="10" t="inlineStr">
        <is>
          <t>A</t>
        </is>
      </c>
      <c r="C9" s="10" t="inlineStr">
        <is>
          <t>ENV-01</t>
        </is>
      </c>
      <c r="D9" s="14" t="n">
        <v>0.4930555555555556</v>
      </c>
      <c r="E9" s="14" t="n">
        <v>0.4993055555555556</v>
      </c>
      <c r="F9" s="15">
        <f>IF(AND(ISNUMBER(D9),ISNUMBER(E9)),ROUND(IF(E9&lt;D9,E9+1-D9,E9-D9)*1440,2),IF(ISNUMBER(N9),N9,""))</f>
        <v/>
      </c>
      <c r="G9" s="10" t="n">
        <v>205</v>
      </c>
      <c r="H9" s="6">
        <f>IF(G9="","",IFERROR(VLOOKUP(G9,MOT,3,FALSE),"código inválido"))</f>
        <v/>
      </c>
      <c r="I9" s="10" t="inlineStr">
        <is>
          <t>Peso de envase fora; ajuste do dosador</t>
        </is>
      </c>
      <c r="J9" s="16" t="n"/>
      <c r="K9" s="16" t="n"/>
      <c r="L9" s="16" t="n"/>
      <c r="M9" s="16" t="n"/>
      <c r="N9" s="10" t="n"/>
      <c r="O9" s="6">
        <f>IF(G9="","",IFERROR(VLOOKUP(G9,MOT,2,FALSE),"código inválido"))</f>
        <v/>
      </c>
      <c r="P9" s="12">
        <f>IF(ISNUMBER(J9),COUNT(J$6:J9),"")</f>
        <v/>
      </c>
    </row>
    <row r="10">
      <c r="A10" s="13" t="n">
        <v>46300</v>
      </c>
      <c r="B10" s="10" t="inlineStr">
        <is>
          <t>A</t>
        </is>
      </c>
      <c r="C10" s="10" t="inlineStr">
        <is>
          <t>ENV-01</t>
        </is>
      </c>
      <c r="D10" s="14" t="n"/>
      <c r="E10" s="14" t="n"/>
      <c r="F10" s="15">
        <f>IF(AND(ISNUMBER(D10),ISNUMBER(E10)),ROUND(IF(E10&lt;D10,E10+1-D10,E10-D10)*1440,2),IF(ISNUMBER(N10),N10,""))</f>
        <v/>
      </c>
      <c r="G10" s="10" t="n">
        <v>401</v>
      </c>
      <c r="H10" s="6">
        <f>IF(G10="","",IFERROR(VLOOKUP(G10,MOT,3,FALSE),"código inválido"))</f>
        <v/>
      </c>
      <c r="I10" s="10" t="inlineStr">
        <is>
          <t>Soma das pequenas paradas registradas no turno (sem hora)</t>
        </is>
      </c>
      <c r="J10" s="16" t="n"/>
      <c r="K10" s="16" t="n"/>
      <c r="L10" s="16" t="n"/>
      <c r="M10" s="16" t="n"/>
      <c r="N10" s="10" t="n">
        <v>6</v>
      </c>
      <c r="O10" s="6">
        <f>IF(G10="","",IFERROR(VLOOKUP(G10,MOT,2,FALSE),"código inválido"))</f>
        <v/>
      </c>
      <c r="P10" s="12">
        <f>IF(ISNUMBER(J10),COUNT(J$6:J10),"")</f>
        <v/>
      </c>
    </row>
    <row r="11">
      <c r="A11" s="13" t="n">
        <v>46300</v>
      </c>
      <c r="B11" s="10" t="inlineStr">
        <is>
          <t>A</t>
        </is>
      </c>
      <c r="C11" s="10" t="inlineStr">
        <is>
          <t>ENV-01</t>
        </is>
      </c>
      <c r="D11" s="14" t="n"/>
      <c r="E11" s="14" t="n"/>
      <c r="F11" s="15">
        <f>IF(AND(ISNUMBER(D11),ISNUMBER(E11)),ROUND(IF(E11&lt;D11,E11+1-D11,E11-D11)*1440,2),IF(ISNUMBER(N11),N11,""))</f>
        <v/>
      </c>
      <c r="G11" s="10" t="n"/>
      <c r="H11" s="6">
        <f>IF(G11="","",IFERROR(VLOOKUP(G11,MOT,3,FALSE),"código inválido"))</f>
        <v/>
      </c>
      <c r="I11" s="10" t="inlineStr">
        <is>
          <t>Fechamento do turno</t>
        </is>
      </c>
      <c r="J11" s="16" t="n">
        <v>18690</v>
      </c>
      <c r="K11" s="16" t="n">
        <v>412</v>
      </c>
      <c r="L11" s="16" t="n">
        <v>260</v>
      </c>
      <c r="M11" s="16" t="n">
        <v>0</v>
      </c>
      <c r="N11" s="10" t="n"/>
      <c r="O11" s="6">
        <f>IF(G11="","",IFERROR(VLOOKUP(G11,MOT,2,FALSE),"código inválido"))</f>
        <v/>
      </c>
      <c r="P11" s="12">
        <f>IF(ISNUMBER(J11),COUNT(J$6:J11),"")</f>
        <v/>
      </c>
    </row>
    <row r="12">
      <c r="A12" s="13" t="n"/>
      <c r="B12" s="10" t="n"/>
      <c r="C12" s="10" t="n"/>
      <c r="D12" s="14" t="n"/>
      <c r="E12" s="14" t="n"/>
      <c r="F12" s="15">
        <f>IF(AND(ISNUMBER(D12),ISNUMBER(E12)),ROUND(IF(E12&lt;D12,E12+1-D12,E12-D12)*1440,2),IF(ISNUMBER(N12),N12,""))</f>
        <v/>
      </c>
      <c r="G12" s="10" t="n"/>
      <c r="H12" s="6">
        <f>IF(G12="","",IFERROR(VLOOKUP(G12,MOT,3,FALSE),"código inválido"))</f>
        <v/>
      </c>
      <c r="I12" s="10" t="n"/>
      <c r="J12" s="16" t="n"/>
      <c r="K12" s="16" t="n"/>
      <c r="L12" s="16" t="n"/>
      <c r="M12" s="16" t="n"/>
      <c r="N12" s="10" t="n"/>
      <c r="O12" s="6">
        <f>IF(G12="","",IFERROR(VLOOKUP(G12,MOT,2,FALSE),"código inválido"))</f>
        <v/>
      </c>
      <c r="P12" s="12">
        <f>IF(ISNUMBER(J12),COUNT(J$6:J12),"")</f>
        <v/>
      </c>
    </row>
    <row r="13">
      <c r="A13" s="13" t="n"/>
      <c r="B13" s="10" t="n"/>
      <c r="C13" s="10" t="n"/>
      <c r="D13" s="14" t="n"/>
      <c r="E13" s="14" t="n"/>
      <c r="F13" s="15">
        <f>IF(AND(ISNUMBER(D13),ISNUMBER(E13)),ROUND(IF(E13&lt;D13,E13+1-D13,E13-D13)*1440,2),IF(ISNUMBER(N13),N13,""))</f>
        <v/>
      </c>
      <c r="G13" s="10" t="n"/>
      <c r="H13" s="6">
        <f>IF(G13="","",IFERROR(VLOOKUP(G13,MOT,3,FALSE),"código inválido"))</f>
        <v/>
      </c>
      <c r="I13" s="10" t="n"/>
      <c r="J13" s="16" t="n"/>
      <c r="K13" s="16" t="n"/>
      <c r="L13" s="16" t="n"/>
      <c r="M13" s="16" t="n"/>
      <c r="N13" s="10" t="n"/>
      <c r="O13" s="6">
        <f>IF(G13="","",IFERROR(VLOOKUP(G13,MOT,2,FALSE),"código inválido"))</f>
        <v/>
      </c>
      <c r="P13" s="12">
        <f>IF(ISNUMBER(J13),COUNT(J$6:J13),"")</f>
        <v/>
      </c>
    </row>
    <row r="14">
      <c r="A14" s="13" t="n"/>
      <c r="B14" s="10" t="n"/>
      <c r="C14" s="10" t="n"/>
      <c r="D14" s="14" t="n"/>
      <c r="E14" s="14" t="n"/>
      <c r="F14" s="15">
        <f>IF(AND(ISNUMBER(D14),ISNUMBER(E14)),ROUND(IF(E14&lt;D14,E14+1-D14,E14-D14)*1440,2),IF(ISNUMBER(N14),N14,""))</f>
        <v/>
      </c>
      <c r="G14" s="10" t="n"/>
      <c r="H14" s="6">
        <f>IF(G14="","",IFERROR(VLOOKUP(G14,MOT,3,FALSE),"código inválido"))</f>
        <v/>
      </c>
      <c r="I14" s="10" t="n"/>
      <c r="J14" s="16" t="n"/>
      <c r="K14" s="16" t="n"/>
      <c r="L14" s="16" t="n"/>
      <c r="M14" s="16" t="n"/>
      <c r="N14" s="10" t="n"/>
      <c r="O14" s="6">
        <f>IF(G14="","",IFERROR(VLOOKUP(G14,MOT,2,FALSE),"código inválido"))</f>
        <v/>
      </c>
      <c r="P14" s="12">
        <f>IF(ISNUMBER(J14),COUNT(J$6:J14),"")</f>
        <v/>
      </c>
    </row>
    <row r="15">
      <c r="A15" s="13" t="n"/>
      <c r="B15" s="10" t="n"/>
      <c r="C15" s="10" t="n"/>
      <c r="D15" s="14" t="n"/>
      <c r="E15" s="14" t="n"/>
      <c r="F15" s="15">
        <f>IF(AND(ISNUMBER(D15),ISNUMBER(E15)),ROUND(IF(E15&lt;D15,E15+1-D15,E15-D15)*1440,2),IF(ISNUMBER(N15),N15,""))</f>
        <v/>
      </c>
      <c r="G15" s="10" t="n"/>
      <c r="H15" s="6">
        <f>IF(G15="","",IFERROR(VLOOKUP(G15,MOT,3,FALSE),"código inválido"))</f>
        <v/>
      </c>
      <c r="I15" s="10" t="n"/>
      <c r="J15" s="16" t="n"/>
      <c r="K15" s="16" t="n"/>
      <c r="L15" s="16" t="n"/>
      <c r="M15" s="16" t="n"/>
      <c r="N15" s="10" t="n"/>
      <c r="O15" s="6">
        <f>IF(G15="","",IFERROR(VLOOKUP(G15,MOT,2,FALSE),"código inválido"))</f>
        <v/>
      </c>
      <c r="P15" s="12">
        <f>IF(ISNUMBER(J15),COUNT(J$6:J15),"")</f>
        <v/>
      </c>
    </row>
    <row r="16">
      <c r="A16" s="13" t="n"/>
      <c r="B16" s="10" t="n"/>
      <c r="C16" s="10" t="n"/>
      <c r="D16" s="14" t="n"/>
      <c r="E16" s="14" t="n"/>
      <c r="F16" s="15">
        <f>IF(AND(ISNUMBER(D16),ISNUMBER(E16)),ROUND(IF(E16&lt;D16,E16+1-D16,E16-D16)*1440,2),IF(ISNUMBER(N16),N16,""))</f>
        <v/>
      </c>
      <c r="G16" s="10" t="n"/>
      <c r="H16" s="6">
        <f>IF(G16="","",IFERROR(VLOOKUP(G16,MOT,3,FALSE),"código inválido"))</f>
        <v/>
      </c>
      <c r="I16" s="10" t="n"/>
      <c r="J16" s="16" t="n"/>
      <c r="K16" s="16" t="n"/>
      <c r="L16" s="16" t="n"/>
      <c r="M16" s="16" t="n"/>
      <c r="N16" s="10" t="n"/>
      <c r="O16" s="6">
        <f>IF(G16="","",IFERROR(VLOOKUP(G16,MOT,2,FALSE),"código inválido"))</f>
        <v/>
      </c>
      <c r="P16" s="12">
        <f>IF(ISNUMBER(J16),COUNT(J$6:J16),"")</f>
        <v/>
      </c>
    </row>
    <row r="17">
      <c r="A17" s="13" t="n"/>
      <c r="B17" s="10" t="n"/>
      <c r="C17" s="10" t="n"/>
      <c r="D17" s="14" t="n"/>
      <c r="E17" s="14" t="n"/>
      <c r="F17" s="15">
        <f>IF(AND(ISNUMBER(D17),ISNUMBER(E17)),ROUND(IF(E17&lt;D17,E17+1-D17,E17-D17)*1440,2),IF(ISNUMBER(N17),N17,""))</f>
        <v/>
      </c>
      <c r="G17" s="10" t="n"/>
      <c r="H17" s="6">
        <f>IF(G17="","",IFERROR(VLOOKUP(G17,MOT,3,FALSE),"código inválido"))</f>
        <v/>
      </c>
      <c r="I17" s="10" t="n"/>
      <c r="J17" s="16" t="n"/>
      <c r="K17" s="16" t="n"/>
      <c r="L17" s="16" t="n"/>
      <c r="M17" s="16" t="n"/>
      <c r="N17" s="10" t="n"/>
      <c r="O17" s="6">
        <f>IF(G17="","",IFERROR(VLOOKUP(G17,MOT,2,FALSE),"código inválido"))</f>
        <v/>
      </c>
      <c r="P17" s="12">
        <f>IF(ISNUMBER(J17),COUNT(J$6:J17),"")</f>
        <v/>
      </c>
    </row>
    <row r="18">
      <c r="A18" s="13" t="n"/>
      <c r="B18" s="10" t="n"/>
      <c r="C18" s="10" t="n"/>
      <c r="D18" s="14" t="n"/>
      <c r="E18" s="14" t="n"/>
      <c r="F18" s="15">
        <f>IF(AND(ISNUMBER(D18),ISNUMBER(E18)),ROUND(IF(E18&lt;D18,E18+1-D18,E18-D18)*1440,2),IF(ISNUMBER(N18),N18,""))</f>
        <v/>
      </c>
      <c r="G18" s="10" t="n"/>
      <c r="H18" s="6">
        <f>IF(G18="","",IFERROR(VLOOKUP(G18,MOT,3,FALSE),"código inválido"))</f>
        <v/>
      </c>
      <c r="I18" s="10" t="n"/>
      <c r="J18" s="16" t="n"/>
      <c r="K18" s="16" t="n"/>
      <c r="L18" s="16" t="n"/>
      <c r="M18" s="16" t="n"/>
      <c r="N18" s="10" t="n"/>
      <c r="O18" s="6">
        <f>IF(G18="","",IFERROR(VLOOKUP(G18,MOT,2,FALSE),"código inválido"))</f>
        <v/>
      </c>
      <c r="P18" s="12">
        <f>IF(ISNUMBER(J18),COUNT(J$6:J18),"")</f>
        <v/>
      </c>
    </row>
    <row r="19">
      <c r="A19" s="13" t="n"/>
      <c r="B19" s="10" t="n"/>
      <c r="C19" s="10" t="n"/>
      <c r="D19" s="14" t="n"/>
      <c r="E19" s="14" t="n"/>
      <c r="F19" s="15">
        <f>IF(AND(ISNUMBER(D19),ISNUMBER(E19)),ROUND(IF(E19&lt;D19,E19+1-D19,E19-D19)*1440,2),IF(ISNUMBER(N19),N19,""))</f>
        <v/>
      </c>
      <c r="G19" s="10" t="n"/>
      <c r="H19" s="6">
        <f>IF(G19="","",IFERROR(VLOOKUP(G19,MOT,3,FALSE),"código inválido"))</f>
        <v/>
      </c>
      <c r="I19" s="10" t="n"/>
      <c r="J19" s="16" t="n"/>
      <c r="K19" s="16" t="n"/>
      <c r="L19" s="16" t="n"/>
      <c r="M19" s="16" t="n"/>
      <c r="N19" s="10" t="n"/>
      <c r="O19" s="6">
        <f>IF(G19="","",IFERROR(VLOOKUP(G19,MOT,2,FALSE),"código inválido"))</f>
        <v/>
      </c>
      <c r="P19" s="12">
        <f>IF(ISNUMBER(J19),COUNT(J$6:J19),"")</f>
        <v/>
      </c>
    </row>
    <row r="20">
      <c r="A20" s="13" t="n"/>
      <c r="B20" s="10" t="n"/>
      <c r="C20" s="10" t="n"/>
      <c r="D20" s="14" t="n"/>
      <c r="E20" s="14" t="n"/>
      <c r="F20" s="15">
        <f>IF(AND(ISNUMBER(D20),ISNUMBER(E20)),ROUND(IF(E20&lt;D20,E20+1-D20,E20-D20)*1440,2),IF(ISNUMBER(N20),N20,""))</f>
        <v/>
      </c>
      <c r="G20" s="10" t="n"/>
      <c r="H20" s="6">
        <f>IF(G20="","",IFERROR(VLOOKUP(G20,MOT,3,FALSE),"código inválido"))</f>
        <v/>
      </c>
      <c r="I20" s="10" t="n"/>
      <c r="J20" s="16" t="n"/>
      <c r="K20" s="16" t="n"/>
      <c r="L20" s="16" t="n"/>
      <c r="M20" s="16" t="n"/>
      <c r="N20" s="10" t="n"/>
      <c r="O20" s="6">
        <f>IF(G20="","",IFERROR(VLOOKUP(G20,MOT,2,FALSE),"código inválido"))</f>
        <v/>
      </c>
      <c r="P20" s="12">
        <f>IF(ISNUMBER(J20),COUNT(J$6:J20),"")</f>
        <v/>
      </c>
    </row>
    <row r="21">
      <c r="A21" s="13" t="n"/>
      <c r="B21" s="10" t="n"/>
      <c r="C21" s="10" t="n"/>
      <c r="D21" s="14" t="n"/>
      <c r="E21" s="14" t="n"/>
      <c r="F21" s="15">
        <f>IF(AND(ISNUMBER(D21),ISNUMBER(E21)),ROUND(IF(E21&lt;D21,E21+1-D21,E21-D21)*1440,2),IF(ISNUMBER(N21),N21,""))</f>
        <v/>
      </c>
      <c r="G21" s="10" t="n"/>
      <c r="H21" s="6">
        <f>IF(G21="","",IFERROR(VLOOKUP(G21,MOT,3,FALSE),"código inválido"))</f>
        <v/>
      </c>
      <c r="I21" s="10" t="n"/>
      <c r="J21" s="16" t="n"/>
      <c r="K21" s="16" t="n"/>
      <c r="L21" s="16" t="n"/>
      <c r="M21" s="16" t="n"/>
      <c r="N21" s="10" t="n"/>
      <c r="O21" s="6">
        <f>IF(G21="","",IFERROR(VLOOKUP(G21,MOT,2,FALSE),"código inválido"))</f>
        <v/>
      </c>
      <c r="P21" s="12">
        <f>IF(ISNUMBER(J21),COUNT(J$6:J21),"")</f>
        <v/>
      </c>
    </row>
    <row r="22">
      <c r="A22" s="13" t="n"/>
      <c r="B22" s="10" t="n"/>
      <c r="C22" s="10" t="n"/>
      <c r="D22" s="14" t="n"/>
      <c r="E22" s="14" t="n"/>
      <c r="F22" s="15">
        <f>IF(AND(ISNUMBER(D22),ISNUMBER(E22)),ROUND(IF(E22&lt;D22,E22+1-D22,E22-D22)*1440,2),IF(ISNUMBER(N22),N22,""))</f>
        <v/>
      </c>
      <c r="G22" s="10" t="n"/>
      <c r="H22" s="6">
        <f>IF(G22="","",IFERROR(VLOOKUP(G22,MOT,3,FALSE),"código inválido"))</f>
        <v/>
      </c>
      <c r="I22" s="10" t="n"/>
      <c r="J22" s="16" t="n"/>
      <c r="K22" s="16" t="n"/>
      <c r="L22" s="16" t="n"/>
      <c r="M22" s="16" t="n"/>
      <c r="N22" s="10" t="n"/>
      <c r="O22" s="6">
        <f>IF(G22="","",IFERROR(VLOOKUP(G22,MOT,2,FALSE),"código inválido"))</f>
        <v/>
      </c>
      <c r="P22" s="12">
        <f>IF(ISNUMBER(J22),COUNT(J$6:J22),"")</f>
        <v/>
      </c>
    </row>
    <row r="23">
      <c r="A23" s="13" t="n"/>
      <c r="B23" s="10" t="n"/>
      <c r="C23" s="10" t="n"/>
      <c r="D23" s="14" t="n"/>
      <c r="E23" s="14" t="n"/>
      <c r="F23" s="15">
        <f>IF(AND(ISNUMBER(D23),ISNUMBER(E23)),ROUND(IF(E23&lt;D23,E23+1-D23,E23-D23)*1440,2),IF(ISNUMBER(N23),N23,""))</f>
        <v/>
      </c>
      <c r="G23" s="10" t="n"/>
      <c r="H23" s="6">
        <f>IF(G23="","",IFERROR(VLOOKUP(G23,MOT,3,FALSE),"código inválido"))</f>
        <v/>
      </c>
      <c r="I23" s="10" t="n"/>
      <c r="J23" s="16" t="n"/>
      <c r="K23" s="16" t="n"/>
      <c r="L23" s="16" t="n"/>
      <c r="M23" s="16" t="n"/>
      <c r="N23" s="10" t="n"/>
      <c r="O23" s="6">
        <f>IF(G23="","",IFERROR(VLOOKUP(G23,MOT,2,FALSE),"código inválido"))</f>
        <v/>
      </c>
      <c r="P23" s="12">
        <f>IF(ISNUMBER(J23),COUNT(J$6:J23),"")</f>
        <v/>
      </c>
    </row>
    <row r="24">
      <c r="A24" s="13" t="n"/>
      <c r="B24" s="10" t="n"/>
      <c r="C24" s="10" t="n"/>
      <c r="D24" s="14" t="n"/>
      <c r="E24" s="14" t="n"/>
      <c r="F24" s="15">
        <f>IF(AND(ISNUMBER(D24),ISNUMBER(E24)),ROUND(IF(E24&lt;D24,E24+1-D24,E24-D24)*1440,2),IF(ISNUMBER(N24),N24,""))</f>
        <v/>
      </c>
      <c r="G24" s="10" t="n"/>
      <c r="H24" s="6">
        <f>IF(G24="","",IFERROR(VLOOKUP(G24,MOT,3,FALSE),"código inválido"))</f>
        <v/>
      </c>
      <c r="I24" s="10" t="n"/>
      <c r="J24" s="16" t="n"/>
      <c r="K24" s="16" t="n"/>
      <c r="L24" s="16" t="n"/>
      <c r="M24" s="16" t="n"/>
      <c r="N24" s="10" t="n"/>
      <c r="O24" s="6">
        <f>IF(G24="","",IFERROR(VLOOKUP(G24,MOT,2,FALSE),"código inválido"))</f>
        <v/>
      </c>
      <c r="P24" s="12">
        <f>IF(ISNUMBER(J24),COUNT(J$6:J24),"")</f>
        <v/>
      </c>
    </row>
    <row r="25">
      <c r="A25" s="13" t="n"/>
      <c r="B25" s="10" t="n"/>
      <c r="C25" s="10" t="n"/>
      <c r="D25" s="14" t="n"/>
      <c r="E25" s="14" t="n"/>
      <c r="F25" s="15">
        <f>IF(AND(ISNUMBER(D25),ISNUMBER(E25)),ROUND(IF(E25&lt;D25,E25+1-D25,E25-D25)*1440,2),IF(ISNUMBER(N25),N25,""))</f>
        <v/>
      </c>
      <c r="G25" s="10" t="n"/>
      <c r="H25" s="6">
        <f>IF(G25="","",IFERROR(VLOOKUP(G25,MOT,3,FALSE),"código inválido"))</f>
        <v/>
      </c>
      <c r="I25" s="10" t="n"/>
      <c r="J25" s="16" t="n"/>
      <c r="K25" s="16" t="n"/>
      <c r="L25" s="16" t="n"/>
      <c r="M25" s="16" t="n"/>
      <c r="N25" s="10" t="n"/>
      <c r="O25" s="6">
        <f>IF(G25="","",IFERROR(VLOOKUP(G25,MOT,2,FALSE),"código inválido"))</f>
        <v/>
      </c>
      <c r="P25" s="12">
        <f>IF(ISNUMBER(J25),COUNT(J$6:J25),"")</f>
        <v/>
      </c>
    </row>
    <row r="26">
      <c r="A26" s="13" t="n"/>
      <c r="B26" s="10" t="n"/>
      <c r="C26" s="10" t="n"/>
      <c r="D26" s="14" t="n"/>
      <c r="E26" s="14" t="n"/>
      <c r="F26" s="15">
        <f>IF(AND(ISNUMBER(D26),ISNUMBER(E26)),ROUND(IF(E26&lt;D26,E26+1-D26,E26-D26)*1440,2),IF(ISNUMBER(N26),N26,""))</f>
        <v/>
      </c>
      <c r="G26" s="10" t="n"/>
      <c r="H26" s="6">
        <f>IF(G26="","",IFERROR(VLOOKUP(G26,MOT,3,FALSE),"código inválido"))</f>
        <v/>
      </c>
      <c r="I26" s="10" t="n"/>
      <c r="J26" s="16" t="n"/>
      <c r="K26" s="16" t="n"/>
      <c r="L26" s="16" t="n"/>
      <c r="M26" s="16" t="n"/>
      <c r="N26" s="10" t="n"/>
      <c r="O26" s="6">
        <f>IF(G26="","",IFERROR(VLOOKUP(G26,MOT,2,FALSE),"código inválido"))</f>
        <v/>
      </c>
      <c r="P26" s="12">
        <f>IF(ISNUMBER(J26),COUNT(J$6:J26),"")</f>
        <v/>
      </c>
    </row>
    <row r="27">
      <c r="A27" s="13" t="n"/>
      <c r="B27" s="10" t="n"/>
      <c r="C27" s="10" t="n"/>
      <c r="D27" s="14" t="n"/>
      <c r="E27" s="14" t="n"/>
      <c r="F27" s="15">
        <f>IF(AND(ISNUMBER(D27),ISNUMBER(E27)),ROUND(IF(E27&lt;D27,E27+1-D27,E27-D27)*1440,2),IF(ISNUMBER(N27),N27,""))</f>
        <v/>
      </c>
      <c r="G27" s="10" t="n"/>
      <c r="H27" s="6">
        <f>IF(G27="","",IFERROR(VLOOKUP(G27,MOT,3,FALSE),"código inválido"))</f>
        <v/>
      </c>
      <c r="I27" s="10" t="n"/>
      <c r="J27" s="16" t="n"/>
      <c r="K27" s="16" t="n"/>
      <c r="L27" s="16" t="n"/>
      <c r="M27" s="16" t="n"/>
      <c r="N27" s="10" t="n"/>
      <c r="O27" s="6">
        <f>IF(G27="","",IFERROR(VLOOKUP(G27,MOT,2,FALSE),"código inválido"))</f>
        <v/>
      </c>
      <c r="P27" s="12">
        <f>IF(ISNUMBER(J27),COUNT(J$6:J27),"")</f>
        <v/>
      </c>
    </row>
    <row r="28">
      <c r="A28" s="13" t="n"/>
      <c r="B28" s="10" t="n"/>
      <c r="C28" s="10" t="n"/>
      <c r="D28" s="14" t="n"/>
      <c r="E28" s="14" t="n"/>
      <c r="F28" s="15">
        <f>IF(AND(ISNUMBER(D28),ISNUMBER(E28)),ROUND(IF(E28&lt;D28,E28+1-D28,E28-D28)*1440,2),IF(ISNUMBER(N28),N28,""))</f>
        <v/>
      </c>
      <c r="G28" s="10" t="n"/>
      <c r="H28" s="6">
        <f>IF(G28="","",IFERROR(VLOOKUP(G28,MOT,3,FALSE),"código inválido"))</f>
        <v/>
      </c>
      <c r="I28" s="10" t="n"/>
      <c r="J28" s="16" t="n"/>
      <c r="K28" s="16" t="n"/>
      <c r="L28" s="16" t="n"/>
      <c r="M28" s="16" t="n"/>
      <c r="N28" s="10" t="n"/>
      <c r="O28" s="6">
        <f>IF(G28="","",IFERROR(VLOOKUP(G28,MOT,2,FALSE),"código inválido"))</f>
        <v/>
      </c>
      <c r="P28" s="12">
        <f>IF(ISNUMBER(J28),COUNT(J$6:J28),"")</f>
        <v/>
      </c>
    </row>
    <row r="29">
      <c r="A29" s="13" t="n"/>
      <c r="B29" s="10" t="n"/>
      <c r="C29" s="10" t="n"/>
      <c r="D29" s="14" t="n"/>
      <c r="E29" s="14" t="n"/>
      <c r="F29" s="15">
        <f>IF(AND(ISNUMBER(D29),ISNUMBER(E29)),ROUND(IF(E29&lt;D29,E29+1-D29,E29-D29)*1440,2),IF(ISNUMBER(N29),N29,""))</f>
        <v/>
      </c>
      <c r="G29" s="10" t="n"/>
      <c r="H29" s="6">
        <f>IF(G29="","",IFERROR(VLOOKUP(G29,MOT,3,FALSE),"código inválido"))</f>
        <v/>
      </c>
      <c r="I29" s="10" t="n"/>
      <c r="J29" s="16" t="n"/>
      <c r="K29" s="16" t="n"/>
      <c r="L29" s="16" t="n"/>
      <c r="M29" s="16" t="n"/>
      <c r="N29" s="10" t="n"/>
      <c r="O29" s="6">
        <f>IF(G29="","",IFERROR(VLOOKUP(G29,MOT,2,FALSE),"código inválido"))</f>
        <v/>
      </c>
      <c r="P29" s="12">
        <f>IF(ISNUMBER(J29),COUNT(J$6:J29),"")</f>
        <v/>
      </c>
    </row>
    <row r="30">
      <c r="A30" s="13" t="n"/>
      <c r="B30" s="10" t="n"/>
      <c r="C30" s="10" t="n"/>
      <c r="D30" s="14" t="n"/>
      <c r="E30" s="14" t="n"/>
      <c r="F30" s="15">
        <f>IF(AND(ISNUMBER(D30),ISNUMBER(E30)),ROUND(IF(E30&lt;D30,E30+1-D30,E30-D30)*1440,2),IF(ISNUMBER(N30),N30,""))</f>
        <v/>
      </c>
      <c r="G30" s="10" t="n"/>
      <c r="H30" s="6">
        <f>IF(G30="","",IFERROR(VLOOKUP(G30,MOT,3,FALSE),"código inválido"))</f>
        <v/>
      </c>
      <c r="I30" s="10" t="n"/>
      <c r="J30" s="16" t="n"/>
      <c r="K30" s="16" t="n"/>
      <c r="L30" s="16" t="n"/>
      <c r="M30" s="16" t="n"/>
      <c r="N30" s="10" t="n"/>
      <c r="O30" s="6">
        <f>IF(G30="","",IFERROR(VLOOKUP(G30,MOT,2,FALSE),"código inválido"))</f>
        <v/>
      </c>
      <c r="P30" s="12">
        <f>IF(ISNUMBER(J30),COUNT(J$6:J30),"")</f>
        <v/>
      </c>
    </row>
    <row r="31">
      <c r="A31" s="13" t="n"/>
      <c r="B31" s="10" t="n"/>
      <c r="C31" s="10" t="n"/>
      <c r="D31" s="14" t="n"/>
      <c r="E31" s="14" t="n"/>
      <c r="F31" s="15">
        <f>IF(AND(ISNUMBER(D31),ISNUMBER(E31)),ROUND(IF(E31&lt;D31,E31+1-D31,E31-D31)*1440,2),IF(ISNUMBER(N31),N31,""))</f>
        <v/>
      </c>
      <c r="G31" s="10" t="n"/>
      <c r="H31" s="6">
        <f>IF(G31="","",IFERROR(VLOOKUP(G31,MOT,3,FALSE),"código inválido"))</f>
        <v/>
      </c>
      <c r="I31" s="10" t="n"/>
      <c r="J31" s="16" t="n"/>
      <c r="K31" s="16" t="n"/>
      <c r="L31" s="16" t="n"/>
      <c r="M31" s="16" t="n"/>
      <c r="N31" s="10" t="n"/>
      <c r="O31" s="6">
        <f>IF(G31="","",IFERROR(VLOOKUP(G31,MOT,2,FALSE),"código inválido"))</f>
        <v/>
      </c>
      <c r="P31" s="12">
        <f>IF(ISNUMBER(J31),COUNT(J$6:J31),"")</f>
        <v/>
      </c>
    </row>
    <row r="32">
      <c r="A32" s="13" t="n"/>
      <c r="B32" s="10" t="n"/>
      <c r="C32" s="10" t="n"/>
      <c r="D32" s="14" t="n"/>
      <c r="E32" s="14" t="n"/>
      <c r="F32" s="15">
        <f>IF(AND(ISNUMBER(D32),ISNUMBER(E32)),ROUND(IF(E32&lt;D32,E32+1-D32,E32-D32)*1440,2),IF(ISNUMBER(N32),N32,""))</f>
        <v/>
      </c>
      <c r="G32" s="10" t="n"/>
      <c r="H32" s="6">
        <f>IF(G32="","",IFERROR(VLOOKUP(G32,MOT,3,FALSE),"código inválido"))</f>
        <v/>
      </c>
      <c r="I32" s="10" t="n"/>
      <c r="J32" s="16" t="n"/>
      <c r="K32" s="16" t="n"/>
      <c r="L32" s="16" t="n"/>
      <c r="M32" s="16" t="n"/>
      <c r="N32" s="10" t="n"/>
      <c r="O32" s="6">
        <f>IF(G32="","",IFERROR(VLOOKUP(G32,MOT,2,FALSE),"código inválido"))</f>
        <v/>
      </c>
      <c r="P32" s="12">
        <f>IF(ISNUMBER(J32),COUNT(J$6:J32),"")</f>
        <v/>
      </c>
    </row>
    <row r="33">
      <c r="A33" s="13" t="n"/>
      <c r="B33" s="10" t="n"/>
      <c r="C33" s="10" t="n"/>
      <c r="D33" s="14" t="n"/>
      <c r="E33" s="14" t="n"/>
      <c r="F33" s="15">
        <f>IF(AND(ISNUMBER(D33),ISNUMBER(E33)),ROUND(IF(E33&lt;D33,E33+1-D33,E33-D33)*1440,2),IF(ISNUMBER(N33),N33,""))</f>
        <v/>
      </c>
      <c r="G33" s="10" t="n"/>
      <c r="H33" s="6">
        <f>IF(G33="","",IFERROR(VLOOKUP(G33,MOT,3,FALSE),"código inválido"))</f>
        <v/>
      </c>
      <c r="I33" s="10" t="n"/>
      <c r="J33" s="16" t="n"/>
      <c r="K33" s="16" t="n"/>
      <c r="L33" s="16" t="n"/>
      <c r="M33" s="16" t="n"/>
      <c r="N33" s="10" t="n"/>
      <c r="O33" s="6">
        <f>IF(G33="","",IFERROR(VLOOKUP(G33,MOT,2,FALSE),"código inválido"))</f>
        <v/>
      </c>
      <c r="P33" s="12">
        <f>IF(ISNUMBER(J33),COUNT(J$6:J33),"")</f>
        <v/>
      </c>
    </row>
    <row r="34">
      <c r="A34" s="13" t="n"/>
      <c r="B34" s="10" t="n"/>
      <c r="C34" s="10" t="n"/>
      <c r="D34" s="14" t="n"/>
      <c r="E34" s="14" t="n"/>
      <c r="F34" s="15">
        <f>IF(AND(ISNUMBER(D34),ISNUMBER(E34)),ROUND(IF(E34&lt;D34,E34+1-D34,E34-D34)*1440,2),IF(ISNUMBER(N34),N34,""))</f>
        <v/>
      </c>
      <c r="G34" s="10" t="n"/>
      <c r="H34" s="6">
        <f>IF(G34="","",IFERROR(VLOOKUP(G34,MOT,3,FALSE),"código inválido"))</f>
        <v/>
      </c>
      <c r="I34" s="10" t="n"/>
      <c r="J34" s="16" t="n"/>
      <c r="K34" s="16" t="n"/>
      <c r="L34" s="16" t="n"/>
      <c r="M34" s="16" t="n"/>
      <c r="N34" s="10" t="n"/>
      <c r="O34" s="6">
        <f>IF(G34="","",IFERROR(VLOOKUP(G34,MOT,2,FALSE),"código inválido"))</f>
        <v/>
      </c>
      <c r="P34" s="12">
        <f>IF(ISNUMBER(J34),COUNT(J$6:J34),"")</f>
        <v/>
      </c>
    </row>
    <row r="35">
      <c r="A35" s="13" t="n"/>
      <c r="B35" s="10" t="n"/>
      <c r="C35" s="10" t="n"/>
      <c r="D35" s="14" t="n"/>
      <c r="E35" s="14" t="n"/>
      <c r="F35" s="15">
        <f>IF(AND(ISNUMBER(D35),ISNUMBER(E35)),ROUND(IF(E35&lt;D35,E35+1-D35,E35-D35)*1440,2),IF(ISNUMBER(N35),N35,""))</f>
        <v/>
      </c>
      <c r="G35" s="10" t="n"/>
      <c r="H35" s="6">
        <f>IF(G35="","",IFERROR(VLOOKUP(G35,MOT,3,FALSE),"código inválido"))</f>
        <v/>
      </c>
      <c r="I35" s="10" t="n"/>
      <c r="J35" s="16" t="n"/>
      <c r="K35" s="16" t="n"/>
      <c r="L35" s="16" t="n"/>
      <c r="M35" s="16" t="n"/>
      <c r="N35" s="10" t="n"/>
      <c r="O35" s="6">
        <f>IF(G35="","",IFERROR(VLOOKUP(G35,MOT,2,FALSE),"código inválido"))</f>
        <v/>
      </c>
      <c r="P35" s="12">
        <f>IF(ISNUMBER(J35),COUNT(J$6:J35),"")</f>
        <v/>
      </c>
    </row>
    <row r="36">
      <c r="A36" s="13" t="n"/>
      <c r="B36" s="10" t="n"/>
      <c r="C36" s="10" t="n"/>
      <c r="D36" s="14" t="n"/>
      <c r="E36" s="14" t="n"/>
      <c r="F36" s="15">
        <f>IF(AND(ISNUMBER(D36),ISNUMBER(E36)),ROUND(IF(E36&lt;D36,E36+1-D36,E36-D36)*1440,2),IF(ISNUMBER(N36),N36,""))</f>
        <v/>
      </c>
      <c r="G36" s="10" t="n"/>
      <c r="H36" s="6">
        <f>IF(G36="","",IFERROR(VLOOKUP(G36,MOT,3,FALSE),"código inválido"))</f>
        <v/>
      </c>
      <c r="I36" s="10" t="n"/>
      <c r="J36" s="16" t="n"/>
      <c r="K36" s="16" t="n"/>
      <c r="L36" s="16" t="n"/>
      <c r="M36" s="16" t="n"/>
      <c r="N36" s="10" t="n"/>
      <c r="O36" s="6">
        <f>IF(G36="","",IFERROR(VLOOKUP(G36,MOT,2,FALSE),"código inválido"))</f>
        <v/>
      </c>
      <c r="P36" s="12">
        <f>IF(ISNUMBER(J36),COUNT(J$6:J36),"")</f>
        <v/>
      </c>
    </row>
    <row r="37">
      <c r="A37" s="13" t="n"/>
      <c r="B37" s="10" t="n"/>
      <c r="C37" s="10" t="n"/>
      <c r="D37" s="14" t="n"/>
      <c r="E37" s="14" t="n"/>
      <c r="F37" s="15">
        <f>IF(AND(ISNUMBER(D37),ISNUMBER(E37)),ROUND(IF(E37&lt;D37,E37+1-D37,E37-D37)*1440,2),IF(ISNUMBER(N37),N37,""))</f>
        <v/>
      </c>
      <c r="G37" s="10" t="n"/>
      <c r="H37" s="6">
        <f>IF(G37="","",IFERROR(VLOOKUP(G37,MOT,3,FALSE),"código inválido"))</f>
        <v/>
      </c>
      <c r="I37" s="10" t="n"/>
      <c r="J37" s="16" t="n"/>
      <c r="K37" s="16" t="n"/>
      <c r="L37" s="16" t="n"/>
      <c r="M37" s="16" t="n"/>
      <c r="N37" s="10" t="n"/>
      <c r="O37" s="6">
        <f>IF(G37="","",IFERROR(VLOOKUP(G37,MOT,2,FALSE),"código inválido"))</f>
        <v/>
      </c>
      <c r="P37" s="12">
        <f>IF(ISNUMBER(J37),COUNT(J$6:J37),"")</f>
        <v/>
      </c>
    </row>
    <row r="38">
      <c r="A38" s="13" t="n"/>
      <c r="B38" s="10" t="n"/>
      <c r="C38" s="10" t="n"/>
      <c r="D38" s="14" t="n"/>
      <c r="E38" s="14" t="n"/>
      <c r="F38" s="15">
        <f>IF(AND(ISNUMBER(D38),ISNUMBER(E38)),ROUND(IF(E38&lt;D38,E38+1-D38,E38-D38)*1440,2),IF(ISNUMBER(N38),N38,""))</f>
        <v/>
      </c>
      <c r="G38" s="10" t="n"/>
      <c r="H38" s="6">
        <f>IF(G38="","",IFERROR(VLOOKUP(G38,MOT,3,FALSE),"código inválido"))</f>
        <v/>
      </c>
      <c r="I38" s="10" t="n"/>
      <c r="J38" s="16" t="n"/>
      <c r="K38" s="16" t="n"/>
      <c r="L38" s="16" t="n"/>
      <c r="M38" s="16" t="n"/>
      <c r="N38" s="10" t="n"/>
      <c r="O38" s="6">
        <f>IF(G38="","",IFERROR(VLOOKUP(G38,MOT,2,FALSE),"código inválido"))</f>
        <v/>
      </c>
      <c r="P38" s="12">
        <f>IF(ISNUMBER(J38),COUNT(J$6:J38),"")</f>
        <v/>
      </c>
    </row>
    <row r="39">
      <c r="A39" s="13" t="n"/>
      <c r="B39" s="10" t="n"/>
      <c r="C39" s="10" t="n"/>
      <c r="D39" s="14" t="n"/>
      <c r="E39" s="14" t="n"/>
      <c r="F39" s="15">
        <f>IF(AND(ISNUMBER(D39),ISNUMBER(E39)),ROUND(IF(E39&lt;D39,E39+1-D39,E39-D39)*1440,2),IF(ISNUMBER(N39),N39,""))</f>
        <v/>
      </c>
      <c r="G39" s="10" t="n"/>
      <c r="H39" s="6">
        <f>IF(G39="","",IFERROR(VLOOKUP(G39,MOT,3,FALSE),"código inválido"))</f>
        <v/>
      </c>
      <c r="I39" s="10" t="n"/>
      <c r="J39" s="16" t="n"/>
      <c r="K39" s="16" t="n"/>
      <c r="L39" s="16" t="n"/>
      <c r="M39" s="16" t="n"/>
      <c r="N39" s="10" t="n"/>
      <c r="O39" s="6">
        <f>IF(G39="","",IFERROR(VLOOKUP(G39,MOT,2,FALSE),"código inválido"))</f>
        <v/>
      </c>
      <c r="P39" s="12">
        <f>IF(ISNUMBER(J39),COUNT(J$6:J39),"")</f>
        <v/>
      </c>
    </row>
    <row r="40">
      <c r="A40" s="13" t="n"/>
      <c r="B40" s="10" t="n"/>
      <c r="C40" s="10" t="n"/>
      <c r="D40" s="14" t="n"/>
      <c r="E40" s="14" t="n"/>
      <c r="F40" s="15">
        <f>IF(AND(ISNUMBER(D40),ISNUMBER(E40)),ROUND(IF(E40&lt;D40,E40+1-D40,E40-D40)*1440,2),IF(ISNUMBER(N40),N40,""))</f>
        <v/>
      </c>
      <c r="G40" s="10" t="n"/>
      <c r="H40" s="6">
        <f>IF(G40="","",IFERROR(VLOOKUP(G40,MOT,3,FALSE),"código inválido"))</f>
        <v/>
      </c>
      <c r="I40" s="10" t="n"/>
      <c r="J40" s="16" t="n"/>
      <c r="K40" s="16" t="n"/>
      <c r="L40" s="16" t="n"/>
      <c r="M40" s="16" t="n"/>
      <c r="N40" s="10" t="n"/>
      <c r="O40" s="6">
        <f>IF(G40="","",IFERROR(VLOOKUP(G40,MOT,2,FALSE),"código inválido"))</f>
        <v/>
      </c>
      <c r="P40" s="12">
        <f>IF(ISNUMBER(J40),COUNT(J$6:J40),"")</f>
        <v/>
      </c>
    </row>
    <row r="41">
      <c r="A41" s="13" t="n"/>
      <c r="B41" s="10" t="n"/>
      <c r="C41" s="10" t="n"/>
      <c r="D41" s="14" t="n"/>
      <c r="E41" s="14" t="n"/>
      <c r="F41" s="15">
        <f>IF(AND(ISNUMBER(D41),ISNUMBER(E41)),ROUND(IF(E41&lt;D41,E41+1-D41,E41-D41)*1440,2),IF(ISNUMBER(N41),N41,""))</f>
        <v/>
      </c>
      <c r="G41" s="10" t="n"/>
      <c r="H41" s="6">
        <f>IF(G41="","",IFERROR(VLOOKUP(G41,MOT,3,FALSE),"código inválido"))</f>
        <v/>
      </c>
      <c r="I41" s="10" t="n"/>
      <c r="J41" s="16" t="n"/>
      <c r="K41" s="16" t="n"/>
      <c r="L41" s="16" t="n"/>
      <c r="M41" s="16" t="n"/>
      <c r="N41" s="10" t="n"/>
      <c r="O41" s="6">
        <f>IF(G41="","",IFERROR(VLOOKUP(G41,MOT,2,FALSE),"código inválido"))</f>
        <v/>
      </c>
      <c r="P41" s="12">
        <f>IF(ISNUMBER(J41),COUNT(J$6:J41),"")</f>
        <v/>
      </c>
    </row>
    <row r="42">
      <c r="A42" s="13" t="n"/>
      <c r="B42" s="10" t="n"/>
      <c r="C42" s="10" t="n"/>
      <c r="D42" s="14" t="n"/>
      <c r="E42" s="14" t="n"/>
      <c r="F42" s="15">
        <f>IF(AND(ISNUMBER(D42),ISNUMBER(E42)),ROUND(IF(E42&lt;D42,E42+1-D42,E42-D42)*1440,2),IF(ISNUMBER(N42),N42,""))</f>
        <v/>
      </c>
      <c r="G42" s="10" t="n"/>
      <c r="H42" s="6">
        <f>IF(G42="","",IFERROR(VLOOKUP(G42,MOT,3,FALSE),"código inválido"))</f>
        <v/>
      </c>
      <c r="I42" s="10" t="n"/>
      <c r="J42" s="16" t="n"/>
      <c r="K42" s="16" t="n"/>
      <c r="L42" s="16" t="n"/>
      <c r="M42" s="16" t="n"/>
      <c r="N42" s="10" t="n"/>
      <c r="O42" s="6">
        <f>IF(G42="","",IFERROR(VLOOKUP(G42,MOT,2,FALSE),"código inválido"))</f>
        <v/>
      </c>
      <c r="P42" s="12">
        <f>IF(ISNUMBER(J42),COUNT(J$6:J42),"")</f>
        <v/>
      </c>
    </row>
    <row r="43">
      <c r="A43" s="13" t="n"/>
      <c r="B43" s="10" t="n"/>
      <c r="C43" s="10" t="n"/>
      <c r="D43" s="14" t="n"/>
      <c r="E43" s="14" t="n"/>
      <c r="F43" s="15">
        <f>IF(AND(ISNUMBER(D43),ISNUMBER(E43)),ROUND(IF(E43&lt;D43,E43+1-D43,E43-D43)*1440,2),IF(ISNUMBER(N43),N43,""))</f>
        <v/>
      </c>
      <c r="G43" s="10" t="n"/>
      <c r="H43" s="6">
        <f>IF(G43="","",IFERROR(VLOOKUP(G43,MOT,3,FALSE),"código inválido"))</f>
        <v/>
      </c>
      <c r="I43" s="10" t="n"/>
      <c r="J43" s="16" t="n"/>
      <c r="K43" s="16" t="n"/>
      <c r="L43" s="16" t="n"/>
      <c r="M43" s="16" t="n"/>
      <c r="N43" s="10" t="n"/>
      <c r="O43" s="6">
        <f>IF(G43="","",IFERROR(VLOOKUP(G43,MOT,2,FALSE),"código inválido"))</f>
        <v/>
      </c>
      <c r="P43" s="12">
        <f>IF(ISNUMBER(J43),COUNT(J$6:J43),"")</f>
        <v/>
      </c>
    </row>
    <row r="44">
      <c r="A44" s="13" t="n"/>
      <c r="B44" s="10" t="n"/>
      <c r="C44" s="10" t="n"/>
      <c r="D44" s="14" t="n"/>
      <c r="E44" s="14" t="n"/>
      <c r="F44" s="15">
        <f>IF(AND(ISNUMBER(D44),ISNUMBER(E44)),ROUND(IF(E44&lt;D44,E44+1-D44,E44-D44)*1440,2),IF(ISNUMBER(N44),N44,""))</f>
        <v/>
      </c>
      <c r="G44" s="10" t="n"/>
      <c r="H44" s="6">
        <f>IF(G44="","",IFERROR(VLOOKUP(G44,MOT,3,FALSE),"código inválido"))</f>
        <v/>
      </c>
      <c r="I44" s="10" t="n"/>
      <c r="J44" s="16" t="n"/>
      <c r="K44" s="16" t="n"/>
      <c r="L44" s="16" t="n"/>
      <c r="M44" s="16" t="n"/>
      <c r="N44" s="10" t="n"/>
      <c r="O44" s="6">
        <f>IF(G44="","",IFERROR(VLOOKUP(G44,MOT,2,FALSE),"código inválido"))</f>
        <v/>
      </c>
      <c r="P44" s="12">
        <f>IF(ISNUMBER(J44),COUNT(J$6:J44),"")</f>
        <v/>
      </c>
    </row>
    <row r="45">
      <c r="A45" s="13" t="n"/>
      <c r="B45" s="10" t="n"/>
      <c r="C45" s="10" t="n"/>
      <c r="D45" s="14" t="n"/>
      <c r="E45" s="14" t="n"/>
      <c r="F45" s="15">
        <f>IF(AND(ISNUMBER(D45),ISNUMBER(E45)),ROUND(IF(E45&lt;D45,E45+1-D45,E45-D45)*1440,2),IF(ISNUMBER(N45),N45,""))</f>
        <v/>
      </c>
      <c r="G45" s="10" t="n"/>
      <c r="H45" s="6">
        <f>IF(G45="","",IFERROR(VLOOKUP(G45,MOT,3,FALSE),"código inválido"))</f>
        <v/>
      </c>
      <c r="I45" s="10" t="n"/>
      <c r="J45" s="16" t="n"/>
      <c r="K45" s="16" t="n"/>
      <c r="L45" s="16" t="n"/>
      <c r="M45" s="16" t="n"/>
      <c r="N45" s="10" t="n"/>
      <c r="O45" s="6">
        <f>IF(G45="","",IFERROR(VLOOKUP(G45,MOT,2,FALSE),"código inválido"))</f>
        <v/>
      </c>
      <c r="P45" s="12">
        <f>IF(ISNUMBER(J45),COUNT(J$6:J45),"")</f>
        <v/>
      </c>
    </row>
    <row r="46">
      <c r="A46" s="13" t="n"/>
      <c r="B46" s="10" t="n"/>
      <c r="C46" s="10" t="n"/>
      <c r="D46" s="14" t="n"/>
      <c r="E46" s="14" t="n"/>
      <c r="F46" s="15">
        <f>IF(AND(ISNUMBER(D46),ISNUMBER(E46)),ROUND(IF(E46&lt;D46,E46+1-D46,E46-D46)*1440,2),IF(ISNUMBER(N46),N46,""))</f>
        <v/>
      </c>
      <c r="G46" s="10" t="n"/>
      <c r="H46" s="6">
        <f>IF(G46="","",IFERROR(VLOOKUP(G46,MOT,3,FALSE),"código inválido"))</f>
        <v/>
      </c>
      <c r="I46" s="10" t="n"/>
      <c r="J46" s="16" t="n"/>
      <c r="K46" s="16" t="n"/>
      <c r="L46" s="16" t="n"/>
      <c r="M46" s="16" t="n"/>
      <c r="N46" s="10" t="n"/>
      <c r="O46" s="6">
        <f>IF(G46="","",IFERROR(VLOOKUP(G46,MOT,2,FALSE),"código inválido"))</f>
        <v/>
      </c>
      <c r="P46" s="12">
        <f>IF(ISNUMBER(J46),COUNT(J$6:J46),"")</f>
        <v/>
      </c>
    </row>
    <row r="47">
      <c r="A47" s="13" t="n"/>
      <c r="B47" s="10" t="n"/>
      <c r="C47" s="10" t="n"/>
      <c r="D47" s="14" t="n"/>
      <c r="E47" s="14" t="n"/>
      <c r="F47" s="15">
        <f>IF(AND(ISNUMBER(D47),ISNUMBER(E47)),ROUND(IF(E47&lt;D47,E47+1-D47,E47-D47)*1440,2),IF(ISNUMBER(N47),N47,""))</f>
        <v/>
      </c>
      <c r="G47" s="10" t="n"/>
      <c r="H47" s="6">
        <f>IF(G47="","",IFERROR(VLOOKUP(G47,MOT,3,FALSE),"código inválido"))</f>
        <v/>
      </c>
      <c r="I47" s="10" t="n"/>
      <c r="J47" s="16" t="n"/>
      <c r="K47" s="16" t="n"/>
      <c r="L47" s="16" t="n"/>
      <c r="M47" s="16" t="n"/>
      <c r="N47" s="10" t="n"/>
      <c r="O47" s="6">
        <f>IF(G47="","",IFERROR(VLOOKUP(G47,MOT,2,FALSE),"código inválido"))</f>
        <v/>
      </c>
      <c r="P47" s="12">
        <f>IF(ISNUMBER(J47),COUNT(J$6:J47),"")</f>
        <v/>
      </c>
    </row>
    <row r="48">
      <c r="A48" s="13" t="n"/>
      <c r="B48" s="10" t="n"/>
      <c r="C48" s="10" t="n"/>
      <c r="D48" s="14" t="n"/>
      <c r="E48" s="14" t="n"/>
      <c r="F48" s="15">
        <f>IF(AND(ISNUMBER(D48),ISNUMBER(E48)),ROUND(IF(E48&lt;D48,E48+1-D48,E48-D48)*1440,2),IF(ISNUMBER(N48),N48,""))</f>
        <v/>
      </c>
      <c r="G48" s="10" t="n"/>
      <c r="H48" s="6">
        <f>IF(G48="","",IFERROR(VLOOKUP(G48,MOT,3,FALSE),"código inválido"))</f>
        <v/>
      </c>
      <c r="I48" s="10" t="n"/>
      <c r="J48" s="16" t="n"/>
      <c r="K48" s="16" t="n"/>
      <c r="L48" s="16" t="n"/>
      <c r="M48" s="16" t="n"/>
      <c r="N48" s="10" t="n"/>
      <c r="O48" s="6">
        <f>IF(G48="","",IFERROR(VLOOKUP(G48,MOT,2,FALSE),"código inválido"))</f>
        <v/>
      </c>
      <c r="P48" s="12">
        <f>IF(ISNUMBER(J48),COUNT(J$6:J48),"")</f>
        <v/>
      </c>
    </row>
    <row r="49">
      <c r="A49" s="13" t="n"/>
      <c r="B49" s="10" t="n"/>
      <c r="C49" s="10" t="n"/>
      <c r="D49" s="14" t="n"/>
      <c r="E49" s="14" t="n"/>
      <c r="F49" s="15">
        <f>IF(AND(ISNUMBER(D49),ISNUMBER(E49)),ROUND(IF(E49&lt;D49,E49+1-D49,E49-D49)*1440,2),IF(ISNUMBER(N49),N49,""))</f>
        <v/>
      </c>
      <c r="G49" s="10" t="n"/>
      <c r="H49" s="6">
        <f>IF(G49="","",IFERROR(VLOOKUP(G49,MOT,3,FALSE),"código inválido"))</f>
        <v/>
      </c>
      <c r="I49" s="10" t="n"/>
      <c r="J49" s="16" t="n"/>
      <c r="K49" s="16" t="n"/>
      <c r="L49" s="16" t="n"/>
      <c r="M49" s="16" t="n"/>
      <c r="N49" s="10" t="n"/>
      <c r="O49" s="6">
        <f>IF(G49="","",IFERROR(VLOOKUP(G49,MOT,2,FALSE),"código inválido"))</f>
        <v/>
      </c>
      <c r="P49" s="12">
        <f>IF(ISNUMBER(J49),COUNT(J$6:J49),"")</f>
        <v/>
      </c>
    </row>
    <row r="50">
      <c r="A50" s="13" t="n"/>
      <c r="B50" s="10" t="n"/>
      <c r="C50" s="10" t="n"/>
      <c r="D50" s="14" t="n"/>
      <c r="E50" s="14" t="n"/>
      <c r="F50" s="15">
        <f>IF(AND(ISNUMBER(D50),ISNUMBER(E50)),ROUND(IF(E50&lt;D50,E50+1-D50,E50-D50)*1440,2),IF(ISNUMBER(N50),N50,""))</f>
        <v/>
      </c>
      <c r="G50" s="10" t="n"/>
      <c r="H50" s="6">
        <f>IF(G50="","",IFERROR(VLOOKUP(G50,MOT,3,FALSE),"código inválido"))</f>
        <v/>
      </c>
      <c r="I50" s="10" t="n"/>
      <c r="J50" s="16" t="n"/>
      <c r="K50" s="16" t="n"/>
      <c r="L50" s="16" t="n"/>
      <c r="M50" s="16" t="n"/>
      <c r="N50" s="10" t="n"/>
      <c r="O50" s="6">
        <f>IF(G50="","",IFERROR(VLOOKUP(G50,MOT,2,FALSE),"código inválido"))</f>
        <v/>
      </c>
      <c r="P50" s="12">
        <f>IF(ISNUMBER(J50),COUNT(J$6:J50),"")</f>
        <v/>
      </c>
    </row>
    <row r="51">
      <c r="A51" s="13" t="n"/>
      <c r="B51" s="10" t="n"/>
      <c r="C51" s="10" t="n"/>
      <c r="D51" s="14" t="n"/>
      <c r="E51" s="14" t="n"/>
      <c r="F51" s="15">
        <f>IF(AND(ISNUMBER(D51),ISNUMBER(E51)),ROUND(IF(E51&lt;D51,E51+1-D51,E51-D51)*1440,2),IF(ISNUMBER(N51),N51,""))</f>
        <v/>
      </c>
      <c r="G51" s="10" t="n"/>
      <c r="H51" s="6">
        <f>IF(G51="","",IFERROR(VLOOKUP(G51,MOT,3,FALSE),"código inválido"))</f>
        <v/>
      </c>
      <c r="I51" s="10" t="n"/>
      <c r="J51" s="16" t="n"/>
      <c r="K51" s="16" t="n"/>
      <c r="L51" s="16" t="n"/>
      <c r="M51" s="16" t="n"/>
      <c r="N51" s="10" t="n"/>
      <c r="O51" s="6">
        <f>IF(G51="","",IFERROR(VLOOKUP(G51,MOT,2,FALSE),"código inválido"))</f>
        <v/>
      </c>
      <c r="P51" s="12">
        <f>IF(ISNUMBER(J51),COUNT(J$6:J51),"")</f>
        <v/>
      </c>
    </row>
    <row r="52">
      <c r="A52" s="13" t="n"/>
      <c r="B52" s="10" t="n"/>
      <c r="C52" s="10" t="n"/>
      <c r="D52" s="14" t="n"/>
      <c r="E52" s="14" t="n"/>
      <c r="F52" s="15">
        <f>IF(AND(ISNUMBER(D52),ISNUMBER(E52)),ROUND(IF(E52&lt;D52,E52+1-D52,E52-D52)*1440,2),IF(ISNUMBER(N52),N52,""))</f>
        <v/>
      </c>
      <c r="G52" s="10" t="n"/>
      <c r="H52" s="6">
        <f>IF(G52="","",IFERROR(VLOOKUP(G52,MOT,3,FALSE),"código inválido"))</f>
        <v/>
      </c>
      <c r="I52" s="10" t="n"/>
      <c r="J52" s="16" t="n"/>
      <c r="K52" s="16" t="n"/>
      <c r="L52" s="16" t="n"/>
      <c r="M52" s="16" t="n"/>
      <c r="N52" s="10" t="n"/>
      <c r="O52" s="6">
        <f>IF(G52="","",IFERROR(VLOOKUP(G52,MOT,2,FALSE),"código inválido"))</f>
        <v/>
      </c>
      <c r="P52" s="12">
        <f>IF(ISNUMBER(J52),COUNT(J$6:J52),"")</f>
        <v/>
      </c>
    </row>
    <row r="53">
      <c r="A53" s="13" t="n"/>
      <c r="B53" s="10" t="n"/>
      <c r="C53" s="10" t="n"/>
      <c r="D53" s="14" t="n"/>
      <c r="E53" s="14" t="n"/>
      <c r="F53" s="15">
        <f>IF(AND(ISNUMBER(D53),ISNUMBER(E53)),ROUND(IF(E53&lt;D53,E53+1-D53,E53-D53)*1440,2),IF(ISNUMBER(N53),N53,""))</f>
        <v/>
      </c>
      <c r="G53" s="10" t="n"/>
      <c r="H53" s="6">
        <f>IF(G53="","",IFERROR(VLOOKUP(G53,MOT,3,FALSE),"código inválido"))</f>
        <v/>
      </c>
      <c r="I53" s="10" t="n"/>
      <c r="J53" s="16" t="n"/>
      <c r="K53" s="16" t="n"/>
      <c r="L53" s="16" t="n"/>
      <c r="M53" s="16" t="n"/>
      <c r="N53" s="10" t="n"/>
      <c r="O53" s="6">
        <f>IF(G53="","",IFERROR(VLOOKUP(G53,MOT,2,FALSE),"código inválido"))</f>
        <v/>
      </c>
      <c r="P53" s="12">
        <f>IF(ISNUMBER(J53),COUNT(J$6:J53),"")</f>
        <v/>
      </c>
    </row>
    <row r="54">
      <c r="A54" s="13" t="n"/>
      <c r="B54" s="10" t="n"/>
      <c r="C54" s="10" t="n"/>
      <c r="D54" s="14" t="n"/>
      <c r="E54" s="14" t="n"/>
      <c r="F54" s="15">
        <f>IF(AND(ISNUMBER(D54),ISNUMBER(E54)),ROUND(IF(E54&lt;D54,E54+1-D54,E54-D54)*1440,2),IF(ISNUMBER(N54),N54,""))</f>
        <v/>
      </c>
      <c r="G54" s="10" t="n"/>
      <c r="H54" s="6">
        <f>IF(G54="","",IFERROR(VLOOKUP(G54,MOT,3,FALSE),"código inválido"))</f>
        <v/>
      </c>
      <c r="I54" s="10" t="n"/>
      <c r="J54" s="16" t="n"/>
      <c r="K54" s="16" t="n"/>
      <c r="L54" s="16" t="n"/>
      <c r="M54" s="16" t="n"/>
      <c r="N54" s="10" t="n"/>
      <c r="O54" s="6">
        <f>IF(G54="","",IFERROR(VLOOKUP(G54,MOT,2,FALSE),"código inválido"))</f>
        <v/>
      </c>
      <c r="P54" s="12">
        <f>IF(ISNUMBER(J54),COUNT(J$6:J54),"")</f>
        <v/>
      </c>
    </row>
    <row r="55">
      <c r="A55" s="13" t="n"/>
      <c r="B55" s="10" t="n"/>
      <c r="C55" s="10" t="n"/>
      <c r="D55" s="14" t="n"/>
      <c r="E55" s="14" t="n"/>
      <c r="F55" s="15">
        <f>IF(AND(ISNUMBER(D55),ISNUMBER(E55)),ROUND(IF(E55&lt;D55,E55+1-D55,E55-D55)*1440,2),IF(ISNUMBER(N55),N55,""))</f>
        <v/>
      </c>
      <c r="G55" s="10" t="n"/>
      <c r="H55" s="6">
        <f>IF(G55="","",IFERROR(VLOOKUP(G55,MOT,3,FALSE),"código inválido"))</f>
        <v/>
      </c>
      <c r="I55" s="10" t="n"/>
      <c r="J55" s="16" t="n"/>
      <c r="K55" s="16" t="n"/>
      <c r="L55" s="16" t="n"/>
      <c r="M55" s="16" t="n"/>
      <c r="N55" s="10" t="n"/>
      <c r="O55" s="6">
        <f>IF(G55="","",IFERROR(VLOOKUP(G55,MOT,2,FALSE),"código inválido"))</f>
        <v/>
      </c>
      <c r="P55" s="12">
        <f>IF(ISNUMBER(J55),COUNT(J$6:J55),"")</f>
        <v/>
      </c>
    </row>
    <row r="56">
      <c r="A56" s="13" t="n"/>
      <c r="B56" s="10" t="n"/>
      <c r="C56" s="10" t="n"/>
      <c r="D56" s="14" t="n"/>
      <c r="E56" s="14" t="n"/>
      <c r="F56" s="15">
        <f>IF(AND(ISNUMBER(D56),ISNUMBER(E56)),ROUND(IF(E56&lt;D56,E56+1-D56,E56-D56)*1440,2),IF(ISNUMBER(N56),N56,""))</f>
        <v/>
      </c>
      <c r="G56" s="10" t="n"/>
      <c r="H56" s="6">
        <f>IF(G56="","",IFERROR(VLOOKUP(G56,MOT,3,FALSE),"código inválido"))</f>
        <v/>
      </c>
      <c r="I56" s="10" t="n"/>
      <c r="J56" s="16" t="n"/>
      <c r="K56" s="16" t="n"/>
      <c r="L56" s="16" t="n"/>
      <c r="M56" s="16" t="n"/>
      <c r="N56" s="10" t="n"/>
      <c r="O56" s="6">
        <f>IF(G56="","",IFERROR(VLOOKUP(G56,MOT,2,FALSE),"código inválido"))</f>
        <v/>
      </c>
      <c r="P56" s="12">
        <f>IF(ISNUMBER(J56),COUNT(J$6:J56),"")</f>
        <v/>
      </c>
    </row>
    <row r="57">
      <c r="A57" s="13" t="n"/>
      <c r="B57" s="10" t="n"/>
      <c r="C57" s="10" t="n"/>
      <c r="D57" s="14" t="n"/>
      <c r="E57" s="14" t="n"/>
      <c r="F57" s="15">
        <f>IF(AND(ISNUMBER(D57),ISNUMBER(E57)),ROUND(IF(E57&lt;D57,E57+1-D57,E57-D57)*1440,2),IF(ISNUMBER(N57),N57,""))</f>
        <v/>
      </c>
      <c r="G57" s="10" t="n"/>
      <c r="H57" s="6">
        <f>IF(G57="","",IFERROR(VLOOKUP(G57,MOT,3,FALSE),"código inválido"))</f>
        <v/>
      </c>
      <c r="I57" s="10" t="n"/>
      <c r="J57" s="16" t="n"/>
      <c r="K57" s="16" t="n"/>
      <c r="L57" s="16" t="n"/>
      <c r="M57" s="16" t="n"/>
      <c r="N57" s="10" t="n"/>
      <c r="O57" s="6">
        <f>IF(G57="","",IFERROR(VLOOKUP(G57,MOT,2,FALSE),"código inválido"))</f>
        <v/>
      </c>
      <c r="P57" s="12">
        <f>IF(ISNUMBER(J57),COUNT(J$6:J57),"")</f>
        <v/>
      </c>
    </row>
    <row r="58">
      <c r="A58" s="13" t="n"/>
      <c r="B58" s="10" t="n"/>
      <c r="C58" s="10" t="n"/>
      <c r="D58" s="14" t="n"/>
      <c r="E58" s="14" t="n"/>
      <c r="F58" s="15">
        <f>IF(AND(ISNUMBER(D58),ISNUMBER(E58)),ROUND(IF(E58&lt;D58,E58+1-D58,E58-D58)*1440,2),IF(ISNUMBER(N58),N58,""))</f>
        <v/>
      </c>
      <c r="G58" s="10" t="n"/>
      <c r="H58" s="6">
        <f>IF(G58="","",IFERROR(VLOOKUP(G58,MOT,3,FALSE),"código inválido"))</f>
        <v/>
      </c>
      <c r="I58" s="10" t="n"/>
      <c r="J58" s="16" t="n"/>
      <c r="K58" s="16" t="n"/>
      <c r="L58" s="16" t="n"/>
      <c r="M58" s="16" t="n"/>
      <c r="N58" s="10" t="n"/>
      <c r="O58" s="6">
        <f>IF(G58="","",IFERROR(VLOOKUP(G58,MOT,2,FALSE),"código inválido"))</f>
        <v/>
      </c>
      <c r="P58" s="12">
        <f>IF(ISNUMBER(J58),COUNT(J$6:J58),"")</f>
        <v/>
      </c>
    </row>
    <row r="59">
      <c r="A59" s="13" t="n"/>
      <c r="B59" s="10" t="n"/>
      <c r="C59" s="10" t="n"/>
      <c r="D59" s="14" t="n"/>
      <c r="E59" s="14" t="n"/>
      <c r="F59" s="15">
        <f>IF(AND(ISNUMBER(D59),ISNUMBER(E59)),ROUND(IF(E59&lt;D59,E59+1-D59,E59-D59)*1440,2),IF(ISNUMBER(N59),N59,""))</f>
        <v/>
      </c>
      <c r="G59" s="10" t="n"/>
      <c r="H59" s="6">
        <f>IF(G59="","",IFERROR(VLOOKUP(G59,MOT,3,FALSE),"código inválido"))</f>
        <v/>
      </c>
      <c r="I59" s="10" t="n"/>
      <c r="J59" s="16" t="n"/>
      <c r="K59" s="16" t="n"/>
      <c r="L59" s="16" t="n"/>
      <c r="M59" s="16" t="n"/>
      <c r="N59" s="10" t="n"/>
      <c r="O59" s="6">
        <f>IF(G59="","",IFERROR(VLOOKUP(G59,MOT,2,FALSE),"código inválido"))</f>
        <v/>
      </c>
      <c r="P59" s="12">
        <f>IF(ISNUMBER(J59),COUNT(J$6:J59),"")</f>
        <v/>
      </c>
    </row>
    <row r="60">
      <c r="A60" s="13" t="n"/>
      <c r="B60" s="10" t="n"/>
      <c r="C60" s="10" t="n"/>
      <c r="D60" s="14" t="n"/>
      <c r="E60" s="14" t="n"/>
      <c r="F60" s="15">
        <f>IF(AND(ISNUMBER(D60),ISNUMBER(E60)),ROUND(IF(E60&lt;D60,E60+1-D60,E60-D60)*1440,2),IF(ISNUMBER(N60),N60,""))</f>
        <v/>
      </c>
      <c r="G60" s="10" t="n"/>
      <c r="H60" s="6">
        <f>IF(G60="","",IFERROR(VLOOKUP(G60,MOT,3,FALSE),"código inválido"))</f>
        <v/>
      </c>
      <c r="I60" s="10" t="n"/>
      <c r="J60" s="16" t="n"/>
      <c r="K60" s="16" t="n"/>
      <c r="L60" s="16" t="n"/>
      <c r="M60" s="16" t="n"/>
      <c r="N60" s="10" t="n"/>
      <c r="O60" s="6">
        <f>IF(G60="","",IFERROR(VLOOKUP(G60,MOT,2,FALSE),"código inválido"))</f>
        <v/>
      </c>
      <c r="P60" s="12">
        <f>IF(ISNUMBER(J60),COUNT(J$6:J60),"")</f>
        <v/>
      </c>
    </row>
    <row r="61">
      <c r="A61" s="13" t="n"/>
      <c r="B61" s="10" t="n"/>
      <c r="C61" s="10" t="n"/>
      <c r="D61" s="14" t="n"/>
      <c r="E61" s="14" t="n"/>
      <c r="F61" s="15">
        <f>IF(AND(ISNUMBER(D61),ISNUMBER(E61)),ROUND(IF(E61&lt;D61,E61+1-D61,E61-D61)*1440,2),IF(ISNUMBER(N61),N61,""))</f>
        <v/>
      </c>
      <c r="G61" s="10" t="n"/>
      <c r="H61" s="6">
        <f>IF(G61="","",IFERROR(VLOOKUP(G61,MOT,3,FALSE),"código inválido"))</f>
        <v/>
      </c>
      <c r="I61" s="10" t="n"/>
      <c r="J61" s="16" t="n"/>
      <c r="K61" s="16" t="n"/>
      <c r="L61" s="16" t="n"/>
      <c r="M61" s="16" t="n"/>
      <c r="N61" s="10" t="n"/>
      <c r="O61" s="6">
        <f>IF(G61="","",IFERROR(VLOOKUP(G61,MOT,2,FALSE),"código inválido"))</f>
        <v/>
      </c>
      <c r="P61" s="12">
        <f>IF(ISNUMBER(J61),COUNT(J$6:J61),"")</f>
        <v/>
      </c>
    </row>
    <row r="62">
      <c r="A62" s="13" t="n"/>
      <c r="B62" s="10" t="n"/>
      <c r="C62" s="10" t="n"/>
      <c r="D62" s="14" t="n"/>
      <c r="E62" s="14" t="n"/>
      <c r="F62" s="15">
        <f>IF(AND(ISNUMBER(D62),ISNUMBER(E62)),ROUND(IF(E62&lt;D62,E62+1-D62,E62-D62)*1440,2),IF(ISNUMBER(N62),N62,""))</f>
        <v/>
      </c>
      <c r="G62" s="10" t="n"/>
      <c r="H62" s="6">
        <f>IF(G62="","",IFERROR(VLOOKUP(G62,MOT,3,FALSE),"código inválido"))</f>
        <v/>
      </c>
      <c r="I62" s="10" t="n"/>
      <c r="J62" s="16" t="n"/>
      <c r="K62" s="16" t="n"/>
      <c r="L62" s="16" t="n"/>
      <c r="M62" s="16" t="n"/>
      <c r="N62" s="10" t="n"/>
      <c r="O62" s="6">
        <f>IF(G62="","",IFERROR(VLOOKUP(G62,MOT,2,FALSE),"código inválido"))</f>
        <v/>
      </c>
      <c r="P62" s="12">
        <f>IF(ISNUMBER(J62),COUNT(J$6:J62),"")</f>
        <v/>
      </c>
    </row>
    <row r="63">
      <c r="A63" s="13" t="n"/>
      <c r="B63" s="10" t="n"/>
      <c r="C63" s="10" t="n"/>
      <c r="D63" s="14" t="n"/>
      <c r="E63" s="14" t="n"/>
      <c r="F63" s="15">
        <f>IF(AND(ISNUMBER(D63),ISNUMBER(E63)),ROUND(IF(E63&lt;D63,E63+1-D63,E63-D63)*1440,2),IF(ISNUMBER(N63),N63,""))</f>
        <v/>
      </c>
      <c r="G63" s="10" t="n"/>
      <c r="H63" s="6">
        <f>IF(G63="","",IFERROR(VLOOKUP(G63,MOT,3,FALSE),"código inválido"))</f>
        <v/>
      </c>
      <c r="I63" s="10" t="n"/>
      <c r="J63" s="16" t="n"/>
      <c r="K63" s="16" t="n"/>
      <c r="L63" s="16" t="n"/>
      <c r="M63" s="16" t="n"/>
      <c r="N63" s="10" t="n"/>
      <c r="O63" s="6">
        <f>IF(G63="","",IFERROR(VLOOKUP(G63,MOT,2,FALSE),"código inválido"))</f>
        <v/>
      </c>
      <c r="P63" s="12">
        <f>IF(ISNUMBER(J63),COUNT(J$6:J63),"")</f>
        <v/>
      </c>
    </row>
    <row r="64">
      <c r="A64" s="13" t="n"/>
      <c r="B64" s="10" t="n"/>
      <c r="C64" s="10" t="n"/>
      <c r="D64" s="14" t="n"/>
      <c r="E64" s="14" t="n"/>
      <c r="F64" s="15">
        <f>IF(AND(ISNUMBER(D64),ISNUMBER(E64)),ROUND(IF(E64&lt;D64,E64+1-D64,E64-D64)*1440,2),IF(ISNUMBER(N64),N64,""))</f>
        <v/>
      </c>
      <c r="G64" s="10" t="n"/>
      <c r="H64" s="6">
        <f>IF(G64="","",IFERROR(VLOOKUP(G64,MOT,3,FALSE),"código inválido"))</f>
        <v/>
      </c>
      <c r="I64" s="10" t="n"/>
      <c r="J64" s="16" t="n"/>
      <c r="K64" s="16" t="n"/>
      <c r="L64" s="16" t="n"/>
      <c r="M64" s="16" t="n"/>
      <c r="N64" s="10" t="n"/>
      <c r="O64" s="6">
        <f>IF(G64="","",IFERROR(VLOOKUP(G64,MOT,2,FALSE),"código inválido"))</f>
        <v/>
      </c>
      <c r="P64" s="12">
        <f>IF(ISNUMBER(J64),COUNT(J$6:J64),"")</f>
        <v/>
      </c>
    </row>
    <row r="65">
      <c r="A65" s="13" t="n"/>
      <c r="B65" s="10" t="n"/>
      <c r="C65" s="10" t="n"/>
      <c r="D65" s="14" t="n"/>
      <c r="E65" s="14" t="n"/>
      <c r="F65" s="15">
        <f>IF(AND(ISNUMBER(D65),ISNUMBER(E65)),ROUND(IF(E65&lt;D65,E65+1-D65,E65-D65)*1440,2),IF(ISNUMBER(N65),N65,""))</f>
        <v/>
      </c>
      <c r="G65" s="10" t="n"/>
      <c r="H65" s="6">
        <f>IF(G65="","",IFERROR(VLOOKUP(G65,MOT,3,FALSE),"código inválido"))</f>
        <v/>
      </c>
      <c r="I65" s="10" t="n"/>
      <c r="J65" s="16" t="n"/>
      <c r="K65" s="16" t="n"/>
      <c r="L65" s="16" t="n"/>
      <c r="M65" s="16" t="n"/>
      <c r="N65" s="10" t="n"/>
      <c r="O65" s="6">
        <f>IF(G65="","",IFERROR(VLOOKUP(G65,MOT,2,FALSE),"código inválido"))</f>
        <v/>
      </c>
      <c r="P65" s="12">
        <f>IF(ISNUMBER(J65),COUNT(J$6:J65),"")</f>
        <v/>
      </c>
    </row>
    <row r="66">
      <c r="A66" s="13" t="n"/>
      <c r="B66" s="10" t="n"/>
      <c r="C66" s="10" t="n"/>
      <c r="D66" s="14" t="n"/>
      <c r="E66" s="14" t="n"/>
      <c r="F66" s="15">
        <f>IF(AND(ISNUMBER(D66),ISNUMBER(E66)),ROUND(IF(E66&lt;D66,E66+1-D66,E66-D66)*1440,2),IF(ISNUMBER(N66),N66,""))</f>
        <v/>
      </c>
      <c r="G66" s="10" t="n"/>
      <c r="H66" s="6">
        <f>IF(G66="","",IFERROR(VLOOKUP(G66,MOT,3,FALSE),"código inválido"))</f>
        <v/>
      </c>
      <c r="I66" s="10" t="n"/>
      <c r="J66" s="16" t="n"/>
      <c r="K66" s="16" t="n"/>
      <c r="L66" s="16" t="n"/>
      <c r="M66" s="16" t="n"/>
      <c r="N66" s="10" t="n"/>
      <c r="O66" s="6">
        <f>IF(G66="","",IFERROR(VLOOKUP(G66,MOT,2,FALSE),"código inválido"))</f>
        <v/>
      </c>
      <c r="P66" s="12">
        <f>IF(ISNUMBER(J66),COUNT(J$6:J66),"")</f>
        <v/>
      </c>
    </row>
    <row r="67">
      <c r="A67" s="13" t="n"/>
      <c r="B67" s="10" t="n"/>
      <c r="C67" s="10" t="n"/>
      <c r="D67" s="14" t="n"/>
      <c r="E67" s="14" t="n"/>
      <c r="F67" s="15">
        <f>IF(AND(ISNUMBER(D67),ISNUMBER(E67)),ROUND(IF(E67&lt;D67,E67+1-D67,E67-D67)*1440,2),IF(ISNUMBER(N67),N67,""))</f>
        <v/>
      </c>
      <c r="G67" s="10" t="n"/>
      <c r="H67" s="6">
        <f>IF(G67="","",IFERROR(VLOOKUP(G67,MOT,3,FALSE),"código inválido"))</f>
        <v/>
      </c>
      <c r="I67" s="10" t="n"/>
      <c r="J67" s="16" t="n"/>
      <c r="K67" s="16" t="n"/>
      <c r="L67" s="16" t="n"/>
      <c r="M67" s="16" t="n"/>
      <c r="N67" s="10" t="n"/>
      <c r="O67" s="6">
        <f>IF(G67="","",IFERROR(VLOOKUP(G67,MOT,2,FALSE),"código inválido"))</f>
        <v/>
      </c>
      <c r="P67" s="12">
        <f>IF(ISNUMBER(J67),COUNT(J$6:J67),"")</f>
        <v/>
      </c>
    </row>
    <row r="68">
      <c r="A68" s="13" t="n"/>
      <c r="B68" s="10" t="n"/>
      <c r="C68" s="10" t="n"/>
      <c r="D68" s="14" t="n"/>
      <c r="E68" s="14" t="n"/>
      <c r="F68" s="15">
        <f>IF(AND(ISNUMBER(D68),ISNUMBER(E68)),ROUND(IF(E68&lt;D68,E68+1-D68,E68-D68)*1440,2),IF(ISNUMBER(N68),N68,""))</f>
        <v/>
      </c>
      <c r="G68" s="10" t="n"/>
      <c r="H68" s="6">
        <f>IF(G68="","",IFERROR(VLOOKUP(G68,MOT,3,FALSE),"código inválido"))</f>
        <v/>
      </c>
      <c r="I68" s="10" t="n"/>
      <c r="J68" s="16" t="n"/>
      <c r="K68" s="16" t="n"/>
      <c r="L68" s="16" t="n"/>
      <c r="M68" s="16" t="n"/>
      <c r="N68" s="10" t="n"/>
      <c r="O68" s="6">
        <f>IF(G68="","",IFERROR(VLOOKUP(G68,MOT,2,FALSE),"código inválido"))</f>
        <v/>
      </c>
      <c r="P68" s="12">
        <f>IF(ISNUMBER(J68),COUNT(J$6:J68),"")</f>
        <v/>
      </c>
    </row>
    <row r="69">
      <c r="A69" s="13" t="n"/>
      <c r="B69" s="10" t="n"/>
      <c r="C69" s="10" t="n"/>
      <c r="D69" s="14" t="n"/>
      <c r="E69" s="14" t="n"/>
      <c r="F69" s="15">
        <f>IF(AND(ISNUMBER(D69),ISNUMBER(E69)),ROUND(IF(E69&lt;D69,E69+1-D69,E69-D69)*1440,2),IF(ISNUMBER(N69),N69,""))</f>
        <v/>
      </c>
      <c r="G69" s="10" t="n"/>
      <c r="H69" s="6">
        <f>IF(G69="","",IFERROR(VLOOKUP(G69,MOT,3,FALSE),"código inválido"))</f>
        <v/>
      </c>
      <c r="I69" s="10" t="n"/>
      <c r="J69" s="16" t="n"/>
      <c r="K69" s="16" t="n"/>
      <c r="L69" s="16" t="n"/>
      <c r="M69" s="16" t="n"/>
      <c r="N69" s="10" t="n"/>
      <c r="O69" s="6">
        <f>IF(G69="","",IFERROR(VLOOKUP(G69,MOT,2,FALSE),"código inválido"))</f>
        <v/>
      </c>
      <c r="P69" s="12">
        <f>IF(ISNUMBER(J69),COUNT(J$6:J69),"")</f>
        <v/>
      </c>
    </row>
    <row r="70">
      <c r="A70" s="13" t="n"/>
      <c r="B70" s="10" t="n"/>
      <c r="C70" s="10" t="n"/>
      <c r="D70" s="14" t="n"/>
      <c r="E70" s="14" t="n"/>
      <c r="F70" s="15">
        <f>IF(AND(ISNUMBER(D70),ISNUMBER(E70)),ROUND(IF(E70&lt;D70,E70+1-D70,E70-D70)*1440,2),IF(ISNUMBER(N70),N70,""))</f>
        <v/>
      </c>
      <c r="G70" s="10" t="n"/>
      <c r="H70" s="6">
        <f>IF(G70="","",IFERROR(VLOOKUP(G70,MOT,3,FALSE),"código inválido"))</f>
        <v/>
      </c>
      <c r="I70" s="10" t="n"/>
      <c r="J70" s="16" t="n"/>
      <c r="K70" s="16" t="n"/>
      <c r="L70" s="16" t="n"/>
      <c r="M70" s="16" t="n"/>
      <c r="N70" s="10" t="n"/>
      <c r="O70" s="6">
        <f>IF(G70="","",IFERROR(VLOOKUP(G70,MOT,2,FALSE),"código inválido"))</f>
        <v/>
      </c>
      <c r="P70" s="12">
        <f>IF(ISNUMBER(J70),COUNT(J$6:J70),"")</f>
        <v/>
      </c>
    </row>
    <row r="71">
      <c r="A71" s="13" t="n"/>
      <c r="B71" s="10" t="n"/>
      <c r="C71" s="10" t="n"/>
      <c r="D71" s="14" t="n"/>
      <c r="E71" s="14" t="n"/>
      <c r="F71" s="15">
        <f>IF(AND(ISNUMBER(D71),ISNUMBER(E71)),ROUND(IF(E71&lt;D71,E71+1-D71,E71-D71)*1440,2),IF(ISNUMBER(N71),N71,""))</f>
        <v/>
      </c>
      <c r="G71" s="10" t="n"/>
      <c r="H71" s="6">
        <f>IF(G71="","",IFERROR(VLOOKUP(G71,MOT,3,FALSE),"código inválido"))</f>
        <v/>
      </c>
      <c r="I71" s="10" t="n"/>
      <c r="J71" s="16" t="n"/>
      <c r="K71" s="16" t="n"/>
      <c r="L71" s="16" t="n"/>
      <c r="M71" s="16" t="n"/>
      <c r="N71" s="10" t="n"/>
      <c r="O71" s="6">
        <f>IF(G71="","",IFERROR(VLOOKUP(G71,MOT,2,FALSE),"código inválido"))</f>
        <v/>
      </c>
      <c r="P71" s="12">
        <f>IF(ISNUMBER(J71),COUNT(J$6:J71),"")</f>
        <v/>
      </c>
    </row>
    <row r="72">
      <c r="A72" s="13" t="n"/>
      <c r="B72" s="10" t="n"/>
      <c r="C72" s="10" t="n"/>
      <c r="D72" s="14" t="n"/>
      <c r="E72" s="14" t="n"/>
      <c r="F72" s="15">
        <f>IF(AND(ISNUMBER(D72),ISNUMBER(E72)),ROUND(IF(E72&lt;D72,E72+1-D72,E72-D72)*1440,2),IF(ISNUMBER(N72),N72,""))</f>
        <v/>
      </c>
      <c r="G72" s="10" t="n"/>
      <c r="H72" s="6">
        <f>IF(G72="","",IFERROR(VLOOKUP(G72,MOT,3,FALSE),"código inválido"))</f>
        <v/>
      </c>
      <c r="I72" s="10" t="n"/>
      <c r="J72" s="16" t="n"/>
      <c r="K72" s="16" t="n"/>
      <c r="L72" s="16" t="n"/>
      <c r="M72" s="16" t="n"/>
      <c r="N72" s="10" t="n"/>
      <c r="O72" s="6">
        <f>IF(G72="","",IFERROR(VLOOKUP(G72,MOT,2,FALSE),"código inválido"))</f>
        <v/>
      </c>
      <c r="P72" s="12">
        <f>IF(ISNUMBER(J72),COUNT(J$6:J72),"")</f>
        <v/>
      </c>
    </row>
    <row r="73">
      <c r="A73" s="13" t="n"/>
      <c r="B73" s="10" t="n"/>
      <c r="C73" s="10" t="n"/>
      <c r="D73" s="14" t="n"/>
      <c r="E73" s="14" t="n"/>
      <c r="F73" s="15">
        <f>IF(AND(ISNUMBER(D73),ISNUMBER(E73)),ROUND(IF(E73&lt;D73,E73+1-D73,E73-D73)*1440,2),IF(ISNUMBER(N73),N73,""))</f>
        <v/>
      </c>
      <c r="G73" s="10" t="n"/>
      <c r="H73" s="6">
        <f>IF(G73="","",IFERROR(VLOOKUP(G73,MOT,3,FALSE),"código inválido"))</f>
        <v/>
      </c>
      <c r="I73" s="10" t="n"/>
      <c r="J73" s="16" t="n"/>
      <c r="K73" s="16" t="n"/>
      <c r="L73" s="16" t="n"/>
      <c r="M73" s="16" t="n"/>
      <c r="N73" s="10" t="n"/>
      <c r="O73" s="6">
        <f>IF(G73="","",IFERROR(VLOOKUP(G73,MOT,2,FALSE),"código inválido"))</f>
        <v/>
      </c>
      <c r="P73" s="12">
        <f>IF(ISNUMBER(J73),COUNT(J$6:J73),"")</f>
        <v/>
      </c>
    </row>
    <row r="74">
      <c r="A74" s="13" t="n"/>
      <c r="B74" s="10" t="n"/>
      <c r="C74" s="10" t="n"/>
      <c r="D74" s="14" t="n"/>
      <c r="E74" s="14" t="n"/>
      <c r="F74" s="15">
        <f>IF(AND(ISNUMBER(D74),ISNUMBER(E74)),ROUND(IF(E74&lt;D74,E74+1-D74,E74-D74)*1440,2),IF(ISNUMBER(N74),N74,""))</f>
        <v/>
      </c>
      <c r="G74" s="10" t="n"/>
      <c r="H74" s="6">
        <f>IF(G74="","",IFERROR(VLOOKUP(G74,MOT,3,FALSE),"código inválido"))</f>
        <v/>
      </c>
      <c r="I74" s="10" t="n"/>
      <c r="J74" s="16" t="n"/>
      <c r="K74" s="16" t="n"/>
      <c r="L74" s="16" t="n"/>
      <c r="M74" s="16" t="n"/>
      <c r="N74" s="10" t="n"/>
      <c r="O74" s="6">
        <f>IF(G74="","",IFERROR(VLOOKUP(G74,MOT,2,FALSE),"código inválido"))</f>
        <v/>
      </c>
      <c r="P74" s="12">
        <f>IF(ISNUMBER(J74),COUNT(J$6:J74),"")</f>
        <v/>
      </c>
    </row>
    <row r="75">
      <c r="A75" s="13" t="n"/>
      <c r="B75" s="10" t="n"/>
      <c r="C75" s="10" t="n"/>
      <c r="D75" s="14" t="n"/>
      <c r="E75" s="14" t="n"/>
      <c r="F75" s="15">
        <f>IF(AND(ISNUMBER(D75),ISNUMBER(E75)),ROUND(IF(E75&lt;D75,E75+1-D75,E75-D75)*1440,2),IF(ISNUMBER(N75),N75,""))</f>
        <v/>
      </c>
      <c r="G75" s="10" t="n"/>
      <c r="H75" s="6">
        <f>IF(G75="","",IFERROR(VLOOKUP(G75,MOT,3,FALSE),"código inválido"))</f>
        <v/>
      </c>
      <c r="I75" s="10" t="n"/>
      <c r="J75" s="16" t="n"/>
      <c r="K75" s="16" t="n"/>
      <c r="L75" s="16" t="n"/>
      <c r="M75" s="16" t="n"/>
      <c r="N75" s="10" t="n"/>
      <c r="O75" s="6">
        <f>IF(G75="","",IFERROR(VLOOKUP(G75,MOT,2,FALSE),"código inválido"))</f>
        <v/>
      </c>
      <c r="P75" s="12">
        <f>IF(ISNUMBER(J75),COUNT(J$6:J75),"")</f>
        <v/>
      </c>
    </row>
    <row r="76">
      <c r="A76" s="13" t="n"/>
      <c r="B76" s="10" t="n"/>
      <c r="C76" s="10" t="n"/>
      <c r="D76" s="14" t="n"/>
      <c r="E76" s="14" t="n"/>
      <c r="F76" s="15">
        <f>IF(AND(ISNUMBER(D76),ISNUMBER(E76)),ROUND(IF(E76&lt;D76,E76+1-D76,E76-D76)*1440,2),IF(ISNUMBER(N76),N76,""))</f>
        <v/>
      </c>
      <c r="G76" s="10" t="n"/>
      <c r="H76" s="6">
        <f>IF(G76="","",IFERROR(VLOOKUP(G76,MOT,3,FALSE),"código inválido"))</f>
        <v/>
      </c>
      <c r="I76" s="10" t="n"/>
      <c r="J76" s="16" t="n"/>
      <c r="K76" s="16" t="n"/>
      <c r="L76" s="16" t="n"/>
      <c r="M76" s="16" t="n"/>
      <c r="N76" s="10" t="n"/>
      <c r="O76" s="6">
        <f>IF(G76="","",IFERROR(VLOOKUP(G76,MOT,2,FALSE),"código inválido"))</f>
        <v/>
      </c>
      <c r="P76" s="12">
        <f>IF(ISNUMBER(J76),COUNT(J$6:J76),"")</f>
        <v/>
      </c>
    </row>
    <row r="77">
      <c r="A77" s="13" t="n"/>
      <c r="B77" s="10" t="n"/>
      <c r="C77" s="10" t="n"/>
      <c r="D77" s="14" t="n"/>
      <c r="E77" s="14" t="n"/>
      <c r="F77" s="15">
        <f>IF(AND(ISNUMBER(D77),ISNUMBER(E77)),ROUND(IF(E77&lt;D77,E77+1-D77,E77-D77)*1440,2),IF(ISNUMBER(N77),N77,""))</f>
        <v/>
      </c>
      <c r="G77" s="10" t="n"/>
      <c r="H77" s="6">
        <f>IF(G77="","",IFERROR(VLOOKUP(G77,MOT,3,FALSE),"código inválido"))</f>
        <v/>
      </c>
      <c r="I77" s="10" t="n"/>
      <c r="J77" s="16" t="n"/>
      <c r="K77" s="16" t="n"/>
      <c r="L77" s="16" t="n"/>
      <c r="M77" s="16" t="n"/>
      <c r="N77" s="10" t="n"/>
      <c r="O77" s="6">
        <f>IF(G77="","",IFERROR(VLOOKUP(G77,MOT,2,FALSE),"código inválido"))</f>
        <v/>
      </c>
      <c r="P77" s="12">
        <f>IF(ISNUMBER(J77),COUNT(J$6:J77),"")</f>
        <v/>
      </c>
    </row>
    <row r="78">
      <c r="A78" s="13" t="n"/>
      <c r="B78" s="10" t="n"/>
      <c r="C78" s="10" t="n"/>
      <c r="D78" s="14" t="n"/>
      <c r="E78" s="14" t="n"/>
      <c r="F78" s="15">
        <f>IF(AND(ISNUMBER(D78),ISNUMBER(E78)),ROUND(IF(E78&lt;D78,E78+1-D78,E78-D78)*1440,2),IF(ISNUMBER(N78),N78,""))</f>
        <v/>
      </c>
      <c r="G78" s="10" t="n"/>
      <c r="H78" s="6">
        <f>IF(G78="","",IFERROR(VLOOKUP(G78,MOT,3,FALSE),"código inválido"))</f>
        <v/>
      </c>
      <c r="I78" s="10" t="n"/>
      <c r="J78" s="16" t="n"/>
      <c r="K78" s="16" t="n"/>
      <c r="L78" s="16" t="n"/>
      <c r="M78" s="16" t="n"/>
      <c r="N78" s="10" t="n"/>
      <c r="O78" s="6">
        <f>IF(G78="","",IFERROR(VLOOKUP(G78,MOT,2,FALSE),"código inválido"))</f>
        <v/>
      </c>
      <c r="P78" s="12">
        <f>IF(ISNUMBER(J78),COUNT(J$6:J78),"")</f>
        <v/>
      </c>
    </row>
    <row r="79">
      <c r="A79" s="13" t="n"/>
      <c r="B79" s="10" t="n"/>
      <c r="C79" s="10" t="n"/>
      <c r="D79" s="14" t="n"/>
      <c r="E79" s="14" t="n"/>
      <c r="F79" s="15">
        <f>IF(AND(ISNUMBER(D79),ISNUMBER(E79)),ROUND(IF(E79&lt;D79,E79+1-D79,E79-D79)*1440,2),IF(ISNUMBER(N79),N79,""))</f>
        <v/>
      </c>
      <c r="G79" s="10" t="n"/>
      <c r="H79" s="6">
        <f>IF(G79="","",IFERROR(VLOOKUP(G79,MOT,3,FALSE),"código inválido"))</f>
        <v/>
      </c>
      <c r="I79" s="10" t="n"/>
      <c r="J79" s="16" t="n"/>
      <c r="K79" s="16" t="n"/>
      <c r="L79" s="16" t="n"/>
      <c r="M79" s="16" t="n"/>
      <c r="N79" s="10" t="n"/>
      <c r="O79" s="6">
        <f>IF(G79="","",IFERROR(VLOOKUP(G79,MOT,2,FALSE),"código inválido"))</f>
        <v/>
      </c>
      <c r="P79" s="12">
        <f>IF(ISNUMBER(J79),COUNT(J$6:J79),"")</f>
        <v/>
      </c>
    </row>
    <row r="80">
      <c r="A80" s="13" t="n"/>
      <c r="B80" s="10" t="n"/>
      <c r="C80" s="10" t="n"/>
      <c r="D80" s="14" t="n"/>
      <c r="E80" s="14" t="n"/>
      <c r="F80" s="15">
        <f>IF(AND(ISNUMBER(D80),ISNUMBER(E80)),ROUND(IF(E80&lt;D80,E80+1-D80,E80-D80)*1440,2),IF(ISNUMBER(N80),N80,""))</f>
        <v/>
      </c>
      <c r="G80" s="10" t="n"/>
      <c r="H80" s="6">
        <f>IF(G80="","",IFERROR(VLOOKUP(G80,MOT,3,FALSE),"código inválido"))</f>
        <v/>
      </c>
      <c r="I80" s="10" t="n"/>
      <c r="J80" s="16" t="n"/>
      <c r="K80" s="16" t="n"/>
      <c r="L80" s="16" t="n"/>
      <c r="M80" s="16" t="n"/>
      <c r="N80" s="10" t="n"/>
      <c r="O80" s="6">
        <f>IF(G80="","",IFERROR(VLOOKUP(G80,MOT,2,FALSE),"código inválido"))</f>
        <v/>
      </c>
      <c r="P80" s="12">
        <f>IF(ISNUMBER(J80),COUNT(J$6:J80),"")</f>
        <v/>
      </c>
    </row>
    <row r="81">
      <c r="A81" s="13" t="n"/>
      <c r="B81" s="10" t="n"/>
      <c r="C81" s="10" t="n"/>
      <c r="D81" s="14" t="n"/>
      <c r="E81" s="14" t="n"/>
      <c r="F81" s="15">
        <f>IF(AND(ISNUMBER(D81),ISNUMBER(E81)),ROUND(IF(E81&lt;D81,E81+1-D81,E81-D81)*1440,2),IF(ISNUMBER(N81),N81,""))</f>
        <v/>
      </c>
      <c r="G81" s="10" t="n"/>
      <c r="H81" s="6">
        <f>IF(G81="","",IFERROR(VLOOKUP(G81,MOT,3,FALSE),"código inválido"))</f>
        <v/>
      </c>
      <c r="I81" s="10" t="n"/>
      <c r="J81" s="16" t="n"/>
      <c r="K81" s="16" t="n"/>
      <c r="L81" s="16" t="n"/>
      <c r="M81" s="16" t="n"/>
      <c r="N81" s="10" t="n"/>
      <c r="O81" s="6">
        <f>IF(G81="","",IFERROR(VLOOKUP(G81,MOT,2,FALSE),"código inválido"))</f>
        <v/>
      </c>
      <c r="P81" s="12">
        <f>IF(ISNUMBER(J81),COUNT(J$6:J81),"")</f>
        <v/>
      </c>
    </row>
    <row r="82">
      <c r="A82" s="13" t="n"/>
      <c r="B82" s="10" t="n"/>
      <c r="C82" s="10" t="n"/>
      <c r="D82" s="14" t="n"/>
      <c r="E82" s="14" t="n"/>
      <c r="F82" s="15">
        <f>IF(AND(ISNUMBER(D82),ISNUMBER(E82)),ROUND(IF(E82&lt;D82,E82+1-D82,E82-D82)*1440,2),IF(ISNUMBER(N82),N82,""))</f>
        <v/>
      </c>
      <c r="G82" s="10" t="n"/>
      <c r="H82" s="6">
        <f>IF(G82="","",IFERROR(VLOOKUP(G82,MOT,3,FALSE),"código inválido"))</f>
        <v/>
      </c>
      <c r="I82" s="10" t="n"/>
      <c r="J82" s="16" t="n"/>
      <c r="K82" s="16" t="n"/>
      <c r="L82" s="16" t="n"/>
      <c r="M82" s="16" t="n"/>
      <c r="N82" s="10" t="n"/>
      <c r="O82" s="6">
        <f>IF(G82="","",IFERROR(VLOOKUP(G82,MOT,2,FALSE),"código inválido"))</f>
        <v/>
      </c>
      <c r="P82" s="12">
        <f>IF(ISNUMBER(J82),COUNT(J$6:J82),"")</f>
        <v/>
      </c>
    </row>
    <row r="83">
      <c r="A83" s="13" t="n"/>
      <c r="B83" s="10" t="n"/>
      <c r="C83" s="10" t="n"/>
      <c r="D83" s="14" t="n"/>
      <c r="E83" s="14" t="n"/>
      <c r="F83" s="15">
        <f>IF(AND(ISNUMBER(D83),ISNUMBER(E83)),ROUND(IF(E83&lt;D83,E83+1-D83,E83-D83)*1440,2),IF(ISNUMBER(N83),N83,""))</f>
        <v/>
      </c>
      <c r="G83" s="10" t="n"/>
      <c r="H83" s="6">
        <f>IF(G83="","",IFERROR(VLOOKUP(G83,MOT,3,FALSE),"código inválido"))</f>
        <v/>
      </c>
      <c r="I83" s="10" t="n"/>
      <c r="J83" s="16" t="n"/>
      <c r="K83" s="16" t="n"/>
      <c r="L83" s="16" t="n"/>
      <c r="M83" s="16" t="n"/>
      <c r="N83" s="10" t="n"/>
      <c r="O83" s="6">
        <f>IF(G83="","",IFERROR(VLOOKUP(G83,MOT,2,FALSE),"código inválido"))</f>
        <v/>
      </c>
      <c r="P83" s="12">
        <f>IF(ISNUMBER(J83),COUNT(J$6:J83),"")</f>
        <v/>
      </c>
    </row>
    <row r="84">
      <c r="A84" s="13" t="n"/>
      <c r="B84" s="10" t="n"/>
      <c r="C84" s="10" t="n"/>
      <c r="D84" s="14" t="n"/>
      <c r="E84" s="14" t="n"/>
      <c r="F84" s="15">
        <f>IF(AND(ISNUMBER(D84),ISNUMBER(E84)),ROUND(IF(E84&lt;D84,E84+1-D84,E84-D84)*1440,2),IF(ISNUMBER(N84),N84,""))</f>
        <v/>
      </c>
      <c r="G84" s="10" t="n"/>
      <c r="H84" s="6">
        <f>IF(G84="","",IFERROR(VLOOKUP(G84,MOT,3,FALSE),"código inválido"))</f>
        <v/>
      </c>
      <c r="I84" s="10" t="n"/>
      <c r="J84" s="16" t="n"/>
      <c r="K84" s="16" t="n"/>
      <c r="L84" s="16" t="n"/>
      <c r="M84" s="16" t="n"/>
      <c r="N84" s="10" t="n"/>
      <c r="O84" s="6">
        <f>IF(G84="","",IFERROR(VLOOKUP(G84,MOT,2,FALSE),"código inválido"))</f>
        <v/>
      </c>
      <c r="P84" s="12">
        <f>IF(ISNUMBER(J84),COUNT(J$6:J84),"")</f>
        <v/>
      </c>
    </row>
    <row r="85">
      <c r="A85" s="13" t="n"/>
      <c r="B85" s="10" t="n"/>
      <c r="C85" s="10" t="n"/>
      <c r="D85" s="14" t="n"/>
      <c r="E85" s="14" t="n"/>
      <c r="F85" s="15">
        <f>IF(AND(ISNUMBER(D85),ISNUMBER(E85)),ROUND(IF(E85&lt;D85,E85+1-D85,E85-D85)*1440,2),IF(ISNUMBER(N85),N85,""))</f>
        <v/>
      </c>
      <c r="G85" s="10" t="n"/>
      <c r="H85" s="6">
        <f>IF(G85="","",IFERROR(VLOOKUP(G85,MOT,3,FALSE),"código inválido"))</f>
        <v/>
      </c>
      <c r="I85" s="10" t="n"/>
      <c r="J85" s="16" t="n"/>
      <c r="K85" s="16" t="n"/>
      <c r="L85" s="16" t="n"/>
      <c r="M85" s="16" t="n"/>
      <c r="N85" s="10" t="n"/>
      <c r="O85" s="6">
        <f>IF(G85="","",IFERROR(VLOOKUP(G85,MOT,2,FALSE),"código inválido"))</f>
        <v/>
      </c>
      <c r="P85" s="12">
        <f>IF(ISNUMBER(J85),COUNT(J$6:J85),"")</f>
        <v/>
      </c>
    </row>
    <row r="86">
      <c r="A86" s="13" t="n"/>
      <c r="B86" s="10" t="n"/>
      <c r="C86" s="10" t="n"/>
      <c r="D86" s="14" t="n"/>
      <c r="E86" s="14" t="n"/>
      <c r="F86" s="15">
        <f>IF(AND(ISNUMBER(D86),ISNUMBER(E86)),ROUND(IF(E86&lt;D86,E86+1-D86,E86-D86)*1440,2),IF(ISNUMBER(N86),N86,""))</f>
        <v/>
      </c>
      <c r="G86" s="10" t="n"/>
      <c r="H86" s="6">
        <f>IF(G86="","",IFERROR(VLOOKUP(G86,MOT,3,FALSE),"código inválido"))</f>
        <v/>
      </c>
      <c r="I86" s="10" t="n"/>
      <c r="J86" s="16" t="n"/>
      <c r="K86" s="16" t="n"/>
      <c r="L86" s="16" t="n"/>
      <c r="M86" s="16" t="n"/>
      <c r="N86" s="10" t="n"/>
      <c r="O86" s="6">
        <f>IF(G86="","",IFERROR(VLOOKUP(G86,MOT,2,FALSE),"código inválido"))</f>
        <v/>
      </c>
      <c r="P86" s="12">
        <f>IF(ISNUMBER(J86),COUNT(J$6:J86),"")</f>
        <v/>
      </c>
    </row>
    <row r="87">
      <c r="A87" s="13" t="n"/>
      <c r="B87" s="10" t="n"/>
      <c r="C87" s="10" t="n"/>
      <c r="D87" s="14" t="n"/>
      <c r="E87" s="14" t="n"/>
      <c r="F87" s="15">
        <f>IF(AND(ISNUMBER(D87),ISNUMBER(E87)),ROUND(IF(E87&lt;D87,E87+1-D87,E87-D87)*1440,2),IF(ISNUMBER(N87),N87,""))</f>
        <v/>
      </c>
      <c r="G87" s="10" t="n"/>
      <c r="H87" s="6">
        <f>IF(G87="","",IFERROR(VLOOKUP(G87,MOT,3,FALSE),"código inválido"))</f>
        <v/>
      </c>
      <c r="I87" s="10" t="n"/>
      <c r="J87" s="16" t="n"/>
      <c r="K87" s="16" t="n"/>
      <c r="L87" s="16" t="n"/>
      <c r="M87" s="16" t="n"/>
      <c r="N87" s="10" t="n"/>
      <c r="O87" s="6">
        <f>IF(G87="","",IFERROR(VLOOKUP(G87,MOT,2,FALSE),"código inválido"))</f>
        <v/>
      </c>
      <c r="P87" s="12">
        <f>IF(ISNUMBER(J87),COUNT(J$6:J87),"")</f>
        <v/>
      </c>
    </row>
    <row r="88">
      <c r="A88" s="13" t="n"/>
      <c r="B88" s="10" t="n"/>
      <c r="C88" s="10" t="n"/>
      <c r="D88" s="14" t="n"/>
      <c r="E88" s="14" t="n"/>
      <c r="F88" s="15">
        <f>IF(AND(ISNUMBER(D88),ISNUMBER(E88)),ROUND(IF(E88&lt;D88,E88+1-D88,E88-D88)*1440,2),IF(ISNUMBER(N88),N88,""))</f>
        <v/>
      </c>
      <c r="G88" s="10" t="n"/>
      <c r="H88" s="6">
        <f>IF(G88="","",IFERROR(VLOOKUP(G88,MOT,3,FALSE),"código inválido"))</f>
        <v/>
      </c>
      <c r="I88" s="10" t="n"/>
      <c r="J88" s="16" t="n"/>
      <c r="K88" s="16" t="n"/>
      <c r="L88" s="16" t="n"/>
      <c r="M88" s="16" t="n"/>
      <c r="N88" s="10" t="n"/>
      <c r="O88" s="6">
        <f>IF(G88="","",IFERROR(VLOOKUP(G88,MOT,2,FALSE),"código inválido"))</f>
        <v/>
      </c>
      <c r="P88" s="12">
        <f>IF(ISNUMBER(J88),COUNT(J$6:J88),"")</f>
        <v/>
      </c>
    </row>
    <row r="89">
      <c r="A89" s="13" t="n"/>
      <c r="B89" s="10" t="n"/>
      <c r="C89" s="10" t="n"/>
      <c r="D89" s="14" t="n"/>
      <c r="E89" s="14" t="n"/>
      <c r="F89" s="15">
        <f>IF(AND(ISNUMBER(D89),ISNUMBER(E89)),ROUND(IF(E89&lt;D89,E89+1-D89,E89-D89)*1440,2),IF(ISNUMBER(N89),N89,""))</f>
        <v/>
      </c>
      <c r="G89" s="10" t="n"/>
      <c r="H89" s="6">
        <f>IF(G89="","",IFERROR(VLOOKUP(G89,MOT,3,FALSE),"código inválido"))</f>
        <v/>
      </c>
      <c r="I89" s="10" t="n"/>
      <c r="J89" s="16" t="n"/>
      <c r="K89" s="16" t="n"/>
      <c r="L89" s="16" t="n"/>
      <c r="M89" s="16" t="n"/>
      <c r="N89" s="10" t="n"/>
      <c r="O89" s="6">
        <f>IF(G89="","",IFERROR(VLOOKUP(G89,MOT,2,FALSE),"código inválido"))</f>
        <v/>
      </c>
      <c r="P89" s="12">
        <f>IF(ISNUMBER(J89),COUNT(J$6:J89),"")</f>
        <v/>
      </c>
    </row>
    <row r="90">
      <c r="A90" s="13" t="n"/>
      <c r="B90" s="10" t="n"/>
      <c r="C90" s="10" t="n"/>
      <c r="D90" s="14" t="n"/>
      <c r="E90" s="14" t="n"/>
      <c r="F90" s="15">
        <f>IF(AND(ISNUMBER(D90),ISNUMBER(E90)),ROUND(IF(E90&lt;D90,E90+1-D90,E90-D90)*1440,2),IF(ISNUMBER(N90),N90,""))</f>
        <v/>
      </c>
      <c r="G90" s="10" t="n"/>
      <c r="H90" s="6">
        <f>IF(G90="","",IFERROR(VLOOKUP(G90,MOT,3,FALSE),"código inválido"))</f>
        <v/>
      </c>
      <c r="I90" s="10" t="n"/>
      <c r="J90" s="16" t="n"/>
      <c r="K90" s="16" t="n"/>
      <c r="L90" s="16" t="n"/>
      <c r="M90" s="16" t="n"/>
      <c r="N90" s="10" t="n"/>
      <c r="O90" s="6">
        <f>IF(G90="","",IFERROR(VLOOKUP(G90,MOT,2,FALSE),"código inválido"))</f>
        <v/>
      </c>
      <c r="P90" s="12">
        <f>IF(ISNUMBER(J90),COUNT(J$6:J90),"")</f>
        <v/>
      </c>
    </row>
    <row r="91">
      <c r="A91" s="13" t="n"/>
      <c r="B91" s="10" t="n"/>
      <c r="C91" s="10" t="n"/>
      <c r="D91" s="14" t="n"/>
      <c r="E91" s="14" t="n"/>
      <c r="F91" s="15">
        <f>IF(AND(ISNUMBER(D91),ISNUMBER(E91)),ROUND(IF(E91&lt;D91,E91+1-D91,E91-D91)*1440,2),IF(ISNUMBER(N91),N91,""))</f>
        <v/>
      </c>
      <c r="G91" s="10" t="n"/>
      <c r="H91" s="6">
        <f>IF(G91="","",IFERROR(VLOOKUP(G91,MOT,3,FALSE),"código inválido"))</f>
        <v/>
      </c>
      <c r="I91" s="10" t="n"/>
      <c r="J91" s="16" t="n"/>
      <c r="K91" s="16" t="n"/>
      <c r="L91" s="16" t="n"/>
      <c r="M91" s="16" t="n"/>
      <c r="N91" s="10" t="n"/>
      <c r="O91" s="6">
        <f>IF(G91="","",IFERROR(VLOOKUP(G91,MOT,2,FALSE),"código inválido"))</f>
        <v/>
      </c>
      <c r="P91" s="12">
        <f>IF(ISNUMBER(J91),COUNT(J$6:J91),"")</f>
        <v/>
      </c>
    </row>
    <row r="92">
      <c r="A92" s="13" t="n"/>
      <c r="B92" s="10" t="n"/>
      <c r="C92" s="10" t="n"/>
      <c r="D92" s="14" t="n"/>
      <c r="E92" s="14" t="n"/>
      <c r="F92" s="15">
        <f>IF(AND(ISNUMBER(D92),ISNUMBER(E92)),ROUND(IF(E92&lt;D92,E92+1-D92,E92-D92)*1440,2),IF(ISNUMBER(N92),N92,""))</f>
        <v/>
      </c>
      <c r="G92" s="10" t="n"/>
      <c r="H92" s="6">
        <f>IF(G92="","",IFERROR(VLOOKUP(G92,MOT,3,FALSE),"código inválido"))</f>
        <v/>
      </c>
      <c r="I92" s="10" t="n"/>
      <c r="J92" s="16" t="n"/>
      <c r="K92" s="16" t="n"/>
      <c r="L92" s="16" t="n"/>
      <c r="M92" s="16" t="n"/>
      <c r="N92" s="10" t="n"/>
      <c r="O92" s="6">
        <f>IF(G92="","",IFERROR(VLOOKUP(G92,MOT,2,FALSE),"código inválido"))</f>
        <v/>
      </c>
      <c r="P92" s="12">
        <f>IF(ISNUMBER(J92),COUNT(J$6:J92),"")</f>
        <v/>
      </c>
    </row>
    <row r="93">
      <c r="A93" s="13" t="n"/>
      <c r="B93" s="10" t="n"/>
      <c r="C93" s="10" t="n"/>
      <c r="D93" s="14" t="n"/>
      <c r="E93" s="14" t="n"/>
      <c r="F93" s="15">
        <f>IF(AND(ISNUMBER(D93),ISNUMBER(E93)),ROUND(IF(E93&lt;D93,E93+1-D93,E93-D93)*1440,2),IF(ISNUMBER(N93),N93,""))</f>
        <v/>
      </c>
      <c r="G93" s="10" t="n"/>
      <c r="H93" s="6">
        <f>IF(G93="","",IFERROR(VLOOKUP(G93,MOT,3,FALSE),"código inválido"))</f>
        <v/>
      </c>
      <c r="I93" s="10" t="n"/>
      <c r="J93" s="16" t="n"/>
      <c r="K93" s="16" t="n"/>
      <c r="L93" s="16" t="n"/>
      <c r="M93" s="16" t="n"/>
      <c r="N93" s="10" t="n"/>
      <c r="O93" s="6">
        <f>IF(G93="","",IFERROR(VLOOKUP(G93,MOT,2,FALSE),"código inválido"))</f>
        <v/>
      </c>
      <c r="P93" s="12">
        <f>IF(ISNUMBER(J93),COUNT(J$6:J93),"")</f>
        <v/>
      </c>
    </row>
    <row r="94">
      <c r="A94" s="13" t="n"/>
      <c r="B94" s="10" t="n"/>
      <c r="C94" s="10" t="n"/>
      <c r="D94" s="14" t="n"/>
      <c r="E94" s="14" t="n"/>
      <c r="F94" s="15">
        <f>IF(AND(ISNUMBER(D94),ISNUMBER(E94)),ROUND(IF(E94&lt;D94,E94+1-D94,E94-D94)*1440,2),IF(ISNUMBER(N94),N94,""))</f>
        <v/>
      </c>
      <c r="G94" s="10" t="n"/>
      <c r="H94" s="6">
        <f>IF(G94="","",IFERROR(VLOOKUP(G94,MOT,3,FALSE),"código inválido"))</f>
        <v/>
      </c>
      <c r="I94" s="10" t="n"/>
      <c r="J94" s="16" t="n"/>
      <c r="K94" s="16" t="n"/>
      <c r="L94" s="16" t="n"/>
      <c r="M94" s="16" t="n"/>
      <c r="N94" s="10" t="n"/>
      <c r="O94" s="6">
        <f>IF(G94="","",IFERROR(VLOOKUP(G94,MOT,2,FALSE),"código inválido"))</f>
        <v/>
      </c>
      <c r="P94" s="12">
        <f>IF(ISNUMBER(J94),COUNT(J$6:J94),"")</f>
        <v/>
      </c>
    </row>
    <row r="95">
      <c r="A95" s="13" t="n"/>
      <c r="B95" s="10" t="n"/>
      <c r="C95" s="10" t="n"/>
      <c r="D95" s="14" t="n"/>
      <c r="E95" s="14" t="n"/>
      <c r="F95" s="15">
        <f>IF(AND(ISNUMBER(D95),ISNUMBER(E95)),ROUND(IF(E95&lt;D95,E95+1-D95,E95-D95)*1440,2),IF(ISNUMBER(N95),N95,""))</f>
        <v/>
      </c>
      <c r="G95" s="10" t="n"/>
      <c r="H95" s="6">
        <f>IF(G95="","",IFERROR(VLOOKUP(G95,MOT,3,FALSE),"código inválido"))</f>
        <v/>
      </c>
      <c r="I95" s="10" t="n"/>
      <c r="J95" s="16" t="n"/>
      <c r="K95" s="16" t="n"/>
      <c r="L95" s="16" t="n"/>
      <c r="M95" s="16" t="n"/>
      <c r="N95" s="10" t="n"/>
      <c r="O95" s="6">
        <f>IF(G95="","",IFERROR(VLOOKUP(G95,MOT,2,FALSE),"código inválido"))</f>
        <v/>
      </c>
      <c r="P95" s="12">
        <f>IF(ISNUMBER(J95),COUNT(J$6:J95),"")</f>
        <v/>
      </c>
    </row>
    <row r="96">
      <c r="A96" s="13" t="n"/>
      <c r="B96" s="10" t="n"/>
      <c r="C96" s="10" t="n"/>
      <c r="D96" s="14" t="n"/>
      <c r="E96" s="14" t="n"/>
      <c r="F96" s="15">
        <f>IF(AND(ISNUMBER(D96),ISNUMBER(E96)),ROUND(IF(E96&lt;D96,E96+1-D96,E96-D96)*1440,2),IF(ISNUMBER(N96),N96,""))</f>
        <v/>
      </c>
      <c r="G96" s="10" t="n"/>
      <c r="H96" s="6">
        <f>IF(G96="","",IFERROR(VLOOKUP(G96,MOT,3,FALSE),"código inválido"))</f>
        <v/>
      </c>
      <c r="I96" s="10" t="n"/>
      <c r="J96" s="16" t="n"/>
      <c r="K96" s="16" t="n"/>
      <c r="L96" s="16" t="n"/>
      <c r="M96" s="16" t="n"/>
      <c r="N96" s="10" t="n"/>
      <c r="O96" s="6">
        <f>IF(G96="","",IFERROR(VLOOKUP(G96,MOT,2,FALSE),"código inválido"))</f>
        <v/>
      </c>
      <c r="P96" s="12">
        <f>IF(ISNUMBER(J96),COUNT(J$6:J96),"")</f>
        <v/>
      </c>
    </row>
    <row r="97">
      <c r="A97" s="13" t="n"/>
      <c r="B97" s="10" t="n"/>
      <c r="C97" s="10" t="n"/>
      <c r="D97" s="14" t="n"/>
      <c r="E97" s="14" t="n"/>
      <c r="F97" s="15">
        <f>IF(AND(ISNUMBER(D97),ISNUMBER(E97)),ROUND(IF(E97&lt;D97,E97+1-D97,E97-D97)*1440,2),IF(ISNUMBER(N97),N97,""))</f>
        <v/>
      </c>
      <c r="G97" s="10" t="n"/>
      <c r="H97" s="6">
        <f>IF(G97="","",IFERROR(VLOOKUP(G97,MOT,3,FALSE),"código inválido"))</f>
        <v/>
      </c>
      <c r="I97" s="10" t="n"/>
      <c r="J97" s="16" t="n"/>
      <c r="K97" s="16" t="n"/>
      <c r="L97" s="16" t="n"/>
      <c r="M97" s="16" t="n"/>
      <c r="N97" s="10" t="n"/>
      <c r="O97" s="6">
        <f>IF(G97="","",IFERROR(VLOOKUP(G97,MOT,2,FALSE),"código inválido"))</f>
        <v/>
      </c>
      <c r="P97" s="12">
        <f>IF(ISNUMBER(J97),COUNT(J$6:J97),"")</f>
        <v/>
      </c>
    </row>
    <row r="98">
      <c r="A98" s="13" t="n"/>
      <c r="B98" s="10" t="n"/>
      <c r="C98" s="10" t="n"/>
      <c r="D98" s="14" t="n"/>
      <c r="E98" s="14" t="n"/>
      <c r="F98" s="15">
        <f>IF(AND(ISNUMBER(D98),ISNUMBER(E98)),ROUND(IF(E98&lt;D98,E98+1-D98,E98-D98)*1440,2),IF(ISNUMBER(N98),N98,""))</f>
        <v/>
      </c>
      <c r="G98" s="10" t="n"/>
      <c r="H98" s="6">
        <f>IF(G98="","",IFERROR(VLOOKUP(G98,MOT,3,FALSE),"código inválido"))</f>
        <v/>
      </c>
      <c r="I98" s="10" t="n"/>
      <c r="J98" s="16" t="n"/>
      <c r="K98" s="16" t="n"/>
      <c r="L98" s="16" t="n"/>
      <c r="M98" s="16" t="n"/>
      <c r="N98" s="10" t="n"/>
      <c r="O98" s="6">
        <f>IF(G98="","",IFERROR(VLOOKUP(G98,MOT,2,FALSE),"código inválido"))</f>
        <v/>
      </c>
      <c r="P98" s="12">
        <f>IF(ISNUMBER(J98),COUNT(J$6:J98),"")</f>
        <v/>
      </c>
    </row>
    <row r="99">
      <c r="A99" s="13" t="n"/>
      <c r="B99" s="10" t="n"/>
      <c r="C99" s="10" t="n"/>
      <c r="D99" s="14" t="n"/>
      <c r="E99" s="14" t="n"/>
      <c r="F99" s="15">
        <f>IF(AND(ISNUMBER(D99),ISNUMBER(E99)),ROUND(IF(E99&lt;D99,E99+1-D99,E99-D99)*1440,2),IF(ISNUMBER(N99),N99,""))</f>
        <v/>
      </c>
      <c r="G99" s="10" t="n"/>
      <c r="H99" s="6">
        <f>IF(G99="","",IFERROR(VLOOKUP(G99,MOT,3,FALSE),"código inválido"))</f>
        <v/>
      </c>
      <c r="I99" s="10" t="n"/>
      <c r="J99" s="16" t="n"/>
      <c r="K99" s="16" t="n"/>
      <c r="L99" s="16" t="n"/>
      <c r="M99" s="16" t="n"/>
      <c r="N99" s="10" t="n"/>
      <c r="O99" s="6">
        <f>IF(G99="","",IFERROR(VLOOKUP(G99,MOT,2,FALSE),"código inválido"))</f>
        <v/>
      </c>
      <c r="P99" s="12">
        <f>IF(ISNUMBER(J99),COUNT(J$6:J99),"")</f>
        <v/>
      </c>
    </row>
    <row r="100">
      <c r="A100" s="13" t="n"/>
      <c r="B100" s="10" t="n"/>
      <c r="C100" s="10" t="n"/>
      <c r="D100" s="14" t="n"/>
      <c r="E100" s="14" t="n"/>
      <c r="F100" s="15">
        <f>IF(AND(ISNUMBER(D100),ISNUMBER(E100)),ROUND(IF(E100&lt;D100,E100+1-D100,E100-D100)*1440,2),IF(ISNUMBER(N100),N100,""))</f>
        <v/>
      </c>
      <c r="G100" s="10" t="n"/>
      <c r="H100" s="6">
        <f>IF(G100="","",IFERROR(VLOOKUP(G100,MOT,3,FALSE),"código inválido"))</f>
        <v/>
      </c>
      <c r="I100" s="10" t="n"/>
      <c r="J100" s="16" t="n"/>
      <c r="K100" s="16" t="n"/>
      <c r="L100" s="16" t="n"/>
      <c r="M100" s="16" t="n"/>
      <c r="N100" s="10" t="n"/>
      <c r="O100" s="6">
        <f>IF(G100="","",IFERROR(VLOOKUP(G100,MOT,2,FALSE),"código inválido"))</f>
        <v/>
      </c>
      <c r="P100" s="12">
        <f>IF(ISNUMBER(J100),COUNT(J$6:J100),"")</f>
        <v/>
      </c>
    </row>
    <row r="101">
      <c r="A101" s="13" t="n"/>
      <c r="B101" s="10" t="n"/>
      <c r="C101" s="10" t="n"/>
      <c r="D101" s="14" t="n"/>
      <c r="E101" s="14" t="n"/>
      <c r="F101" s="15">
        <f>IF(AND(ISNUMBER(D101),ISNUMBER(E101)),ROUND(IF(E101&lt;D101,E101+1-D101,E101-D101)*1440,2),IF(ISNUMBER(N101),N101,""))</f>
        <v/>
      </c>
      <c r="G101" s="10" t="n"/>
      <c r="H101" s="6">
        <f>IF(G101="","",IFERROR(VLOOKUP(G101,MOT,3,FALSE),"código inválido"))</f>
        <v/>
      </c>
      <c r="I101" s="10" t="n"/>
      <c r="J101" s="16" t="n"/>
      <c r="K101" s="16" t="n"/>
      <c r="L101" s="16" t="n"/>
      <c r="M101" s="16" t="n"/>
      <c r="N101" s="10" t="n"/>
      <c r="O101" s="6">
        <f>IF(G101="","",IFERROR(VLOOKUP(G101,MOT,2,FALSE),"código inválido"))</f>
        <v/>
      </c>
      <c r="P101" s="12">
        <f>IF(ISNUMBER(J101),COUNT(J$6:J101),"")</f>
        <v/>
      </c>
    </row>
    <row r="102">
      <c r="A102" s="13" t="n"/>
      <c r="B102" s="10" t="n"/>
      <c r="C102" s="10" t="n"/>
      <c r="D102" s="14" t="n"/>
      <c r="E102" s="14" t="n"/>
      <c r="F102" s="15">
        <f>IF(AND(ISNUMBER(D102),ISNUMBER(E102)),ROUND(IF(E102&lt;D102,E102+1-D102,E102-D102)*1440,2),IF(ISNUMBER(N102),N102,""))</f>
        <v/>
      </c>
      <c r="G102" s="10" t="n"/>
      <c r="H102" s="6">
        <f>IF(G102="","",IFERROR(VLOOKUP(G102,MOT,3,FALSE),"código inválido"))</f>
        <v/>
      </c>
      <c r="I102" s="10" t="n"/>
      <c r="J102" s="16" t="n"/>
      <c r="K102" s="16" t="n"/>
      <c r="L102" s="16" t="n"/>
      <c r="M102" s="16" t="n"/>
      <c r="N102" s="10" t="n"/>
      <c r="O102" s="6">
        <f>IF(G102="","",IFERROR(VLOOKUP(G102,MOT,2,FALSE),"código inválido"))</f>
        <v/>
      </c>
      <c r="P102" s="12">
        <f>IF(ISNUMBER(J102),COUNT(J$6:J102),"")</f>
        <v/>
      </c>
    </row>
    <row r="103">
      <c r="A103" s="13" t="n"/>
      <c r="B103" s="10" t="n"/>
      <c r="C103" s="10" t="n"/>
      <c r="D103" s="14" t="n"/>
      <c r="E103" s="14" t="n"/>
      <c r="F103" s="15">
        <f>IF(AND(ISNUMBER(D103),ISNUMBER(E103)),ROUND(IF(E103&lt;D103,E103+1-D103,E103-D103)*1440,2),IF(ISNUMBER(N103),N103,""))</f>
        <v/>
      </c>
      <c r="G103" s="10" t="n"/>
      <c r="H103" s="6">
        <f>IF(G103="","",IFERROR(VLOOKUP(G103,MOT,3,FALSE),"código inválido"))</f>
        <v/>
      </c>
      <c r="I103" s="10" t="n"/>
      <c r="J103" s="16" t="n"/>
      <c r="K103" s="16" t="n"/>
      <c r="L103" s="16" t="n"/>
      <c r="M103" s="16" t="n"/>
      <c r="N103" s="10" t="n"/>
      <c r="O103" s="6">
        <f>IF(G103="","",IFERROR(VLOOKUP(G103,MOT,2,FALSE),"código inválido"))</f>
        <v/>
      </c>
      <c r="P103" s="12">
        <f>IF(ISNUMBER(J103),COUNT(J$6:J103),"")</f>
        <v/>
      </c>
    </row>
    <row r="104">
      <c r="A104" s="13" t="n"/>
      <c r="B104" s="10" t="n"/>
      <c r="C104" s="10" t="n"/>
      <c r="D104" s="14" t="n"/>
      <c r="E104" s="14" t="n"/>
      <c r="F104" s="15">
        <f>IF(AND(ISNUMBER(D104),ISNUMBER(E104)),ROUND(IF(E104&lt;D104,E104+1-D104,E104-D104)*1440,2),IF(ISNUMBER(N104),N104,""))</f>
        <v/>
      </c>
      <c r="G104" s="10" t="n"/>
      <c r="H104" s="6">
        <f>IF(G104="","",IFERROR(VLOOKUP(G104,MOT,3,FALSE),"código inválido"))</f>
        <v/>
      </c>
      <c r="I104" s="10" t="n"/>
      <c r="J104" s="16" t="n"/>
      <c r="K104" s="16" t="n"/>
      <c r="L104" s="16" t="n"/>
      <c r="M104" s="16" t="n"/>
      <c r="N104" s="10" t="n"/>
      <c r="O104" s="6">
        <f>IF(G104="","",IFERROR(VLOOKUP(G104,MOT,2,FALSE),"código inválido"))</f>
        <v/>
      </c>
      <c r="P104" s="12">
        <f>IF(ISNUMBER(J104),COUNT(J$6:J104),"")</f>
        <v/>
      </c>
    </row>
    <row r="105">
      <c r="A105" s="13" t="n"/>
      <c r="B105" s="10" t="n"/>
      <c r="C105" s="10" t="n"/>
      <c r="D105" s="14" t="n"/>
      <c r="E105" s="14" t="n"/>
      <c r="F105" s="15">
        <f>IF(AND(ISNUMBER(D105),ISNUMBER(E105)),ROUND(IF(E105&lt;D105,E105+1-D105,E105-D105)*1440,2),IF(ISNUMBER(N105),N105,""))</f>
        <v/>
      </c>
      <c r="G105" s="10" t="n"/>
      <c r="H105" s="6">
        <f>IF(G105="","",IFERROR(VLOOKUP(G105,MOT,3,FALSE),"código inválido"))</f>
        <v/>
      </c>
      <c r="I105" s="10" t="n"/>
      <c r="J105" s="16" t="n"/>
      <c r="K105" s="16" t="n"/>
      <c r="L105" s="16" t="n"/>
      <c r="M105" s="16" t="n"/>
      <c r="N105" s="10" t="n"/>
      <c r="O105" s="6">
        <f>IF(G105="","",IFERROR(VLOOKUP(G105,MOT,2,FALSE),"código inválido"))</f>
        <v/>
      </c>
      <c r="P105" s="12">
        <f>IF(ISNUMBER(J105),COUNT(J$6:J105),"")</f>
        <v/>
      </c>
    </row>
    <row r="106">
      <c r="A106" s="13" t="n"/>
      <c r="B106" s="10" t="n"/>
      <c r="C106" s="10" t="n"/>
      <c r="D106" s="14" t="n"/>
      <c r="E106" s="14" t="n"/>
      <c r="F106" s="15">
        <f>IF(AND(ISNUMBER(D106),ISNUMBER(E106)),ROUND(IF(E106&lt;D106,E106+1-D106,E106-D106)*1440,2),IF(ISNUMBER(N106),N106,""))</f>
        <v/>
      </c>
      <c r="G106" s="10" t="n"/>
      <c r="H106" s="6">
        <f>IF(G106="","",IFERROR(VLOOKUP(G106,MOT,3,FALSE),"código inválido"))</f>
        <v/>
      </c>
      <c r="I106" s="10" t="n"/>
      <c r="J106" s="16" t="n"/>
      <c r="K106" s="16" t="n"/>
      <c r="L106" s="16" t="n"/>
      <c r="M106" s="16" t="n"/>
      <c r="N106" s="10" t="n"/>
      <c r="O106" s="6">
        <f>IF(G106="","",IFERROR(VLOOKUP(G106,MOT,2,FALSE),"código inválido"))</f>
        <v/>
      </c>
      <c r="P106" s="12">
        <f>IF(ISNUMBER(J106),COUNT(J$6:J106),"")</f>
        <v/>
      </c>
    </row>
    <row r="107">
      <c r="A107" s="13" t="n"/>
      <c r="B107" s="10" t="n"/>
      <c r="C107" s="10" t="n"/>
      <c r="D107" s="14" t="n"/>
      <c r="E107" s="14" t="n"/>
      <c r="F107" s="15">
        <f>IF(AND(ISNUMBER(D107),ISNUMBER(E107)),ROUND(IF(E107&lt;D107,E107+1-D107,E107-D107)*1440,2),IF(ISNUMBER(N107),N107,""))</f>
        <v/>
      </c>
      <c r="G107" s="10" t="n"/>
      <c r="H107" s="6">
        <f>IF(G107="","",IFERROR(VLOOKUP(G107,MOT,3,FALSE),"código inválido"))</f>
        <v/>
      </c>
      <c r="I107" s="10" t="n"/>
      <c r="J107" s="16" t="n"/>
      <c r="K107" s="16" t="n"/>
      <c r="L107" s="16" t="n"/>
      <c r="M107" s="16" t="n"/>
      <c r="N107" s="10" t="n"/>
      <c r="O107" s="6">
        <f>IF(G107="","",IFERROR(VLOOKUP(G107,MOT,2,FALSE),"código inválido"))</f>
        <v/>
      </c>
      <c r="P107" s="12">
        <f>IF(ISNUMBER(J107),COUNT(J$6:J107),"")</f>
        <v/>
      </c>
    </row>
    <row r="108">
      <c r="A108" s="13" t="n"/>
      <c r="B108" s="10" t="n"/>
      <c r="C108" s="10" t="n"/>
      <c r="D108" s="14" t="n"/>
      <c r="E108" s="14" t="n"/>
      <c r="F108" s="15">
        <f>IF(AND(ISNUMBER(D108),ISNUMBER(E108)),ROUND(IF(E108&lt;D108,E108+1-D108,E108-D108)*1440,2),IF(ISNUMBER(N108),N108,""))</f>
        <v/>
      </c>
      <c r="G108" s="10" t="n"/>
      <c r="H108" s="6">
        <f>IF(G108="","",IFERROR(VLOOKUP(G108,MOT,3,FALSE),"código inválido"))</f>
        <v/>
      </c>
      <c r="I108" s="10" t="n"/>
      <c r="J108" s="16" t="n"/>
      <c r="K108" s="16" t="n"/>
      <c r="L108" s="16" t="n"/>
      <c r="M108" s="16" t="n"/>
      <c r="N108" s="10" t="n"/>
      <c r="O108" s="6">
        <f>IF(G108="","",IFERROR(VLOOKUP(G108,MOT,2,FALSE),"código inválido"))</f>
        <v/>
      </c>
      <c r="P108" s="12">
        <f>IF(ISNUMBER(J108),COUNT(J$6:J108),"")</f>
        <v/>
      </c>
    </row>
    <row r="109">
      <c r="A109" s="13" t="n"/>
      <c r="B109" s="10" t="n"/>
      <c r="C109" s="10" t="n"/>
      <c r="D109" s="14" t="n"/>
      <c r="E109" s="14" t="n"/>
      <c r="F109" s="15">
        <f>IF(AND(ISNUMBER(D109),ISNUMBER(E109)),ROUND(IF(E109&lt;D109,E109+1-D109,E109-D109)*1440,2),IF(ISNUMBER(N109),N109,""))</f>
        <v/>
      </c>
      <c r="G109" s="10" t="n"/>
      <c r="H109" s="6">
        <f>IF(G109="","",IFERROR(VLOOKUP(G109,MOT,3,FALSE),"código inválido"))</f>
        <v/>
      </c>
      <c r="I109" s="10" t="n"/>
      <c r="J109" s="16" t="n"/>
      <c r="K109" s="16" t="n"/>
      <c r="L109" s="16" t="n"/>
      <c r="M109" s="16" t="n"/>
      <c r="N109" s="10" t="n"/>
      <c r="O109" s="6">
        <f>IF(G109="","",IFERROR(VLOOKUP(G109,MOT,2,FALSE),"código inválido"))</f>
        <v/>
      </c>
      <c r="P109" s="12">
        <f>IF(ISNUMBER(J109),COUNT(J$6:J109),"")</f>
        <v/>
      </c>
    </row>
    <row r="110">
      <c r="A110" s="13" t="n"/>
      <c r="B110" s="10" t="n"/>
      <c r="C110" s="10" t="n"/>
      <c r="D110" s="14" t="n"/>
      <c r="E110" s="14" t="n"/>
      <c r="F110" s="15">
        <f>IF(AND(ISNUMBER(D110),ISNUMBER(E110)),ROUND(IF(E110&lt;D110,E110+1-D110,E110-D110)*1440,2),IF(ISNUMBER(N110),N110,""))</f>
        <v/>
      </c>
      <c r="G110" s="10" t="n"/>
      <c r="H110" s="6">
        <f>IF(G110="","",IFERROR(VLOOKUP(G110,MOT,3,FALSE),"código inválido"))</f>
        <v/>
      </c>
      <c r="I110" s="10" t="n"/>
      <c r="J110" s="16" t="n"/>
      <c r="K110" s="16" t="n"/>
      <c r="L110" s="16" t="n"/>
      <c r="M110" s="16" t="n"/>
      <c r="N110" s="10" t="n"/>
      <c r="O110" s="6">
        <f>IF(G110="","",IFERROR(VLOOKUP(G110,MOT,2,FALSE),"código inválido"))</f>
        <v/>
      </c>
      <c r="P110" s="12">
        <f>IF(ISNUMBER(J110),COUNT(J$6:J110),"")</f>
        <v/>
      </c>
    </row>
    <row r="111">
      <c r="A111" s="13" t="n"/>
      <c r="B111" s="10" t="n"/>
      <c r="C111" s="10" t="n"/>
      <c r="D111" s="14" t="n"/>
      <c r="E111" s="14" t="n"/>
      <c r="F111" s="15">
        <f>IF(AND(ISNUMBER(D111),ISNUMBER(E111)),ROUND(IF(E111&lt;D111,E111+1-D111,E111-D111)*1440,2),IF(ISNUMBER(N111),N111,""))</f>
        <v/>
      </c>
      <c r="G111" s="10" t="n"/>
      <c r="H111" s="6">
        <f>IF(G111="","",IFERROR(VLOOKUP(G111,MOT,3,FALSE),"código inválido"))</f>
        <v/>
      </c>
      <c r="I111" s="10" t="n"/>
      <c r="J111" s="16" t="n"/>
      <c r="K111" s="16" t="n"/>
      <c r="L111" s="16" t="n"/>
      <c r="M111" s="16" t="n"/>
      <c r="N111" s="10" t="n"/>
      <c r="O111" s="6">
        <f>IF(G111="","",IFERROR(VLOOKUP(G111,MOT,2,FALSE),"código inválido"))</f>
        <v/>
      </c>
      <c r="P111" s="12">
        <f>IF(ISNUMBER(J111),COUNT(J$6:J111),"")</f>
        <v/>
      </c>
    </row>
    <row r="112">
      <c r="A112" s="13" t="n"/>
      <c r="B112" s="10" t="n"/>
      <c r="C112" s="10" t="n"/>
      <c r="D112" s="14" t="n"/>
      <c r="E112" s="14" t="n"/>
      <c r="F112" s="15">
        <f>IF(AND(ISNUMBER(D112),ISNUMBER(E112)),ROUND(IF(E112&lt;D112,E112+1-D112,E112-D112)*1440,2),IF(ISNUMBER(N112),N112,""))</f>
        <v/>
      </c>
      <c r="G112" s="10" t="n"/>
      <c r="H112" s="6">
        <f>IF(G112="","",IFERROR(VLOOKUP(G112,MOT,3,FALSE),"código inválido"))</f>
        <v/>
      </c>
      <c r="I112" s="10" t="n"/>
      <c r="J112" s="16" t="n"/>
      <c r="K112" s="16" t="n"/>
      <c r="L112" s="16" t="n"/>
      <c r="M112" s="16" t="n"/>
      <c r="N112" s="10" t="n"/>
      <c r="O112" s="6">
        <f>IF(G112="","",IFERROR(VLOOKUP(G112,MOT,2,FALSE),"código inválido"))</f>
        <v/>
      </c>
      <c r="P112" s="12">
        <f>IF(ISNUMBER(J112),COUNT(J$6:J112),"")</f>
        <v/>
      </c>
    </row>
    <row r="113">
      <c r="A113" s="13" t="n"/>
      <c r="B113" s="10" t="n"/>
      <c r="C113" s="10" t="n"/>
      <c r="D113" s="14" t="n"/>
      <c r="E113" s="14" t="n"/>
      <c r="F113" s="15">
        <f>IF(AND(ISNUMBER(D113),ISNUMBER(E113)),ROUND(IF(E113&lt;D113,E113+1-D113,E113-D113)*1440,2),IF(ISNUMBER(N113),N113,""))</f>
        <v/>
      </c>
      <c r="G113" s="10" t="n"/>
      <c r="H113" s="6">
        <f>IF(G113="","",IFERROR(VLOOKUP(G113,MOT,3,FALSE),"código inválido"))</f>
        <v/>
      </c>
      <c r="I113" s="10" t="n"/>
      <c r="J113" s="16" t="n"/>
      <c r="K113" s="16" t="n"/>
      <c r="L113" s="16" t="n"/>
      <c r="M113" s="16" t="n"/>
      <c r="N113" s="10" t="n"/>
      <c r="O113" s="6">
        <f>IF(G113="","",IFERROR(VLOOKUP(G113,MOT,2,FALSE),"código inválido"))</f>
        <v/>
      </c>
      <c r="P113" s="12">
        <f>IF(ISNUMBER(J113),COUNT(J$6:J113),"")</f>
        <v/>
      </c>
    </row>
    <row r="114">
      <c r="A114" s="13" t="n"/>
      <c r="B114" s="10" t="n"/>
      <c r="C114" s="10" t="n"/>
      <c r="D114" s="14" t="n"/>
      <c r="E114" s="14" t="n"/>
      <c r="F114" s="15">
        <f>IF(AND(ISNUMBER(D114),ISNUMBER(E114)),ROUND(IF(E114&lt;D114,E114+1-D114,E114-D114)*1440,2),IF(ISNUMBER(N114),N114,""))</f>
        <v/>
      </c>
      <c r="G114" s="10" t="n"/>
      <c r="H114" s="6">
        <f>IF(G114="","",IFERROR(VLOOKUP(G114,MOT,3,FALSE),"código inválido"))</f>
        <v/>
      </c>
      <c r="I114" s="10" t="n"/>
      <c r="J114" s="16" t="n"/>
      <c r="K114" s="16" t="n"/>
      <c r="L114" s="16" t="n"/>
      <c r="M114" s="16" t="n"/>
      <c r="N114" s="10" t="n"/>
      <c r="O114" s="6">
        <f>IF(G114="","",IFERROR(VLOOKUP(G114,MOT,2,FALSE),"código inválido"))</f>
        <v/>
      </c>
      <c r="P114" s="12">
        <f>IF(ISNUMBER(J114),COUNT(J$6:J114),"")</f>
        <v/>
      </c>
    </row>
    <row r="115">
      <c r="A115" s="13" t="n"/>
      <c r="B115" s="10" t="n"/>
      <c r="C115" s="10" t="n"/>
      <c r="D115" s="14" t="n"/>
      <c r="E115" s="14" t="n"/>
      <c r="F115" s="15">
        <f>IF(AND(ISNUMBER(D115),ISNUMBER(E115)),ROUND(IF(E115&lt;D115,E115+1-D115,E115-D115)*1440,2),IF(ISNUMBER(N115),N115,""))</f>
        <v/>
      </c>
      <c r="G115" s="10" t="n"/>
      <c r="H115" s="6">
        <f>IF(G115="","",IFERROR(VLOOKUP(G115,MOT,3,FALSE),"código inválido"))</f>
        <v/>
      </c>
      <c r="I115" s="10" t="n"/>
      <c r="J115" s="16" t="n"/>
      <c r="K115" s="16" t="n"/>
      <c r="L115" s="16" t="n"/>
      <c r="M115" s="16" t="n"/>
      <c r="N115" s="10" t="n"/>
      <c r="O115" s="6">
        <f>IF(G115="","",IFERROR(VLOOKUP(G115,MOT,2,FALSE),"código inválido"))</f>
        <v/>
      </c>
      <c r="P115" s="12">
        <f>IF(ISNUMBER(J115),COUNT(J$6:J115),"")</f>
        <v/>
      </c>
    </row>
    <row r="116">
      <c r="A116" s="13" t="n"/>
      <c r="B116" s="10" t="n"/>
      <c r="C116" s="10" t="n"/>
      <c r="D116" s="14" t="n"/>
      <c r="E116" s="14" t="n"/>
      <c r="F116" s="15">
        <f>IF(AND(ISNUMBER(D116),ISNUMBER(E116)),ROUND(IF(E116&lt;D116,E116+1-D116,E116-D116)*1440,2),IF(ISNUMBER(N116),N116,""))</f>
        <v/>
      </c>
      <c r="G116" s="10" t="n"/>
      <c r="H116" s="6">
        <f>IF(G116="","",IFERROR(VLOOKUP(G116,MOT,3,FALSE),"código inválido"))</f>
        <v/>
      </c>
      <c r="I116" s="10" t="n"/>
      <c r="J116" s="16" t="n"/>
      <c r="K116" s="16" t="n"/>
      <c r="L116" s="16" t="n"/>
      <c r="M116" s="16" t="n"/>
      <c r="N116" s="10" t="n"/>
      <c r="O116" s="6">
        <f>IF(G116="","",IFERROR(VLOOKUP(G116,MOT,2,FALSE),"código inválido"))</f>
        <v/>
      </c>
      <c r="P116" s="12">
        <f>IF(ISNUMBER(J116),COUNT(J$6:J116),"")</f>
        <v/>
      </c>
    </row>
    <row r="117">
      <c r="A117" s="13" t="n"/>
      <c r="B117" s="10" t="n"/>
      <c r="C117" s="10" t="n"/>
      <c r="D117" s="14" t="n"/>
      <c r="E117" s="14" t="n"/>
      <c r="F117" s="15">
        <f>IF(AND(ISNUMBER(D117),ISNUMBER(E117)),ROUND(IF(E117&lt;D117,E117+1-D117,E117-D117)*1440,2),IF(ISNUMBER(N117),N117,""))</f>
        <v/>
      </c>
      <c r="G117" s="10" t="n"/>
      <c r="H117" s="6">
        <f>IF(G117="","",IFERROR(VLOOKUP(G117,MOT,3,FALSE),"código inválido"))</f>
        <v/>
      </c>
      <c r="I117" s="10" t="n"/>
      <c r="J117" s="16" t="n"/>
      <c r="K117" s="16" t="n"/>
      <c r="L117" s="16" t="n"/>
      <c r="M117" s="16" t="n"/>
      <c r="N117" s="10" t="n"/>
      <c r="O117" s="6">
        <f>IF(G117="","",IFERROR(VLOOKUP(G117,MOT,2,FALSE),"código inválido"))</f>
        <v/>
      </c>
      <c r="P117" s="12">
        <f>IF(ISNUMBER(J117),COUNT(J$6:J117),"")</f>
        <v/>
      </c>
    </row>
    <row r="118">
      <c r="A118" s="13" t="n"/>
      <c r="B118" s="10" t="n"/>
      <c r="C118" s="10" t="n"/>
      <c r="D118" s="14" t="n"/>
      <c r="E118" s="14" t="n"/>
      <c r="F118" s="15">
        <f>IF(AND(ISNUMBER(D118),ISNUMBER(E118)),ROUND(IF(E118&lt;D118,E118+1-D118,E118-D118)*1440,2),IF(ISNUMBER(N118),N118,""))</f>
        <v/>
      </c>
      <c r="G118" s="10" t="n"/>
      <c r="H118" s="6">
        <f>IF(G118="","",IFERROR(VLOOKUP(G118,MOT,3,FALSE),"código inválido"))</f>
        <v/>
      </c>
      <c r="I118" s="10" t="n"/>
      <c r="J118" s="16" t="n"/>
      <c r="K118" s="16" t="n"/>
      <c r="L118" s="16" t="n"/>
      <c r="M118" s="16" t="n"/>
      <c r="N118" s="10" t="n"/>
      <c r="O118" s="6">
        <f>IF(G118="","",IFERROR(VLOOKUP(G118,MOT,2,FALSE),"código inválido"))</f>
        <v/>
      </c>
      <c r="P118" s="12">
        <f>IF(ISNUMBER(J118),COUNT(J$6:J118),"")</f>
        <v/>
      </c>
    </row>
    <row r="119">
      <c r="A119" s="13" t="n"/>
      <c r="B119" s="10" t="n"/>
      <c r="C119" s="10" t="n"/>
      <c r="D119" s="14" t="n"/>
      <c r="E119" s="14" t="n"/>
      <c r="F119" s="15">
        <f>IF(AND(ISNUMBER(D119),ISNUMBER(E119)),ROUND(IF(E119&lt;D119,E119+1-D119,E119-D119)*1440,2),IF(ISNUMBER(N119),N119,""))</f>
        <v/>
      </c>
      <c r="G119" s="10" t="n"/>
      <c r="H119" s="6">
        <f>IF(G119="","",IFERROR(VLOOKUP(G119,MOT,3,FALSE),"código inválido"))</f>
        <v/>
      </c>
      <c r="I119" s="10" t="n"/>
      <c r="J119" s="16" t="n"/>
      <c r="K119" s="16" t="n"/>
      <c r="L119" s="16" t="n"/>
      <c r="M119" s="16" t="n"/>
      <c r="N119" s="10" t="n"/>
      <c r="O119" s="6">
        <f>IF(G119="","",IFERROR(VLOOKUP(G119,MOT,2,FALSE),"código inválido"))</f>
        <v/>
      </c>
      <c r="P119" s="12">
        <f>IF(ISNUMBER(J119),COUNT(J$6:J119),"")</f>
        <v/>
      </c>
    </row>
    <row r="120">
      <c r="A120" s="13" t="n"/>
      <c r="B120" s="10" t="n"/>
      <c r="C120" s="10" t="n"/>
      <c r="D120" s="14" t="n"/>
      <c r="E120" s="14" t="n"/>
      <c r="F120" s="15">
        <f>IF(AND(ISNUMBER(D120),ISNUMBER(E120)),ROUND(IF(E120&lt;D120,E120+1-D120,E120-D120)*1440,2),IF(ISNUMBER(N120),N120,""))</f>
        <v/>
      </c>
      <c r="G120" s="10" t="n"/>
      <c r="H120" s="6">
        <f>IF(G120="","",IFERROR(VLOOKUP(G120,MOT,3,FALSE),"código inválido"))</f>
        <v/>
      </c>
      <c r="I120" s="10" t="n"/>
      <c r="J120" s="16" t="n"/>
      <c r="K120" s="16" t="n"/>
      <c r="L120" s="16" t="n"/>
      <c r="M120" s="16" t="n"/>
      <c r="N120" s="10" t="n"/>
      <c r="O120" s="6">
        <f>IF(G120="","",IFERROR(VLOOKUP(G120,MOT,2,FALSE),"código inválido"))</f>
        <v/>
      </c>
      <c r="P120" s="12">
        <f>IF(ISNUMBER(J120),COUNT(J$6:J120),"")</f>
        <v/>
      </c>
    </row>
    <row r="121">
      <c r="A121" s="13" t="n"/>
      <c r="B121" s="10" t="n"/>
      <c r="C121" s="10" t="n"/>
      <c r="D121" s="14" t="n"/>
      <c r="E121" s="14" t="n"/>
      <c r="F121" s="15">
        <f>IF(AND(ISNUMBER(D121),ISNUMBER(E121)),ROUND(IF(E121&lt;D121,E121+1-D121,E121-D121)*1440,2),IF(ISNUMBER(N121),N121,""))</f>
        <v/>
      </c>
      <c r="G121" s="10" t="n"/>
      <c r="H121" s="6">
        <f>IF(G121="","",IFERROR(VLOOKUP(G121,MOT,3,FALSE),"código inválido"))</f>
        <v/>
      </c>
      <c r="I121" s="10" t="n"/>
      <c r="J121" s="16" t="n"/>
      <c r="K121" s="16" t="n"/>
      <c r="L121" s="16" t="n"/>
      <c r="M121" s="16" t="n"/>
      <c r="N121" s="10" t="n"/>
      <c r="O121" s="6">
        <f>IF(G121="","",IFERROR(VLOOKUP(G121,MOT,2,FALSE),"código inválido"))</f>
        <v/>
      </c>
      <c r="P121" s="12">
        <f>IF(ISNUMBER(J121),COUNT(J$6:J121),"")</f>
        <v/>
      </c>
    </row>
    <row r="122">
      <c r="A122" s="13" t="n"/>
      <c r="B122" s="10" t="n"/>
      <c r="C122" s="10" t="n"/>
      <c r="D122" s="14" t="n"/>
      <c r="E122" s="14" t="n"/>
      <c r="F122" s="15">
        <f>IF(AND(ISNUMBER(D122),ISNUMBER(E122)),ROUND(IF(E122&lt;D122,E122+1-D122,E122-D122)*1440,2),IF(ISNUMBER(N122),N122,""))</f>
        <v/>
      </c>
      <c r="G122" s="10" t="n"/>
      <c r="H122" s="6">
        <f>IF(G122="","",IFERROR(VLOOKUP(G122,MOT,3,FALSE),"código inválido"))</f>
        <v/>
      </c>
      <c r="I122" s="10" t="n"/>
      <c r="J122" s="16" t="n"/>
      <c r="K122" s="16" t="n"/>
      <c r="L122" s="16" t="n"/>
      <c r="M122" s="16" t="n"/>
      <c r="N122" s="10" t="n"/>
      <c r="O122" s="6">
        <f>IF(G122="","",IFERROR(VLOOKUP(G122,MOT,2,FALSE),"código inválido"))</f>
        <v/>
      </c>
      <c r="P122" s="12">
        <f>IF(ISNUMBER(J122),COUNT(J$6:J122),"")</f>
        <v/>
      </c>
    </row>
    <row r="123">
      <c r="A123" s="13" t="n"/>
      <c r="B123" s="10" t="n"/>
      <c r="C123" s="10" t="n"/>
      <c r="D123" s="14" t="n"/>
      <c r="E123" s="14" t="n"/>
      <c r="F123" s="15">
        <f>IF(AND(ISNUMBER(D123),ISNUMBER(E123)),ROUND(IF(E123&lt;D123,E123+1-D123,E123-D123)*1440,2),IF(ISNUMBER(N123),N123,""))</f>
        <v/>
      </c>
      <c r="G123" s="10" t="n"/>
      <c r="H123" s="6">
        <f>IF(G123="","",IFERROR(VLOOKUP(G123,MOT,3,FALSE),"código inválido"))</f>
        <v/>
      </c>
      <c r="I123" s="10" t="n"/>
      <c r="J123" s="16" t="n"/>
      <c r="K123" s="16" t="n"/>
      <c r="L123" s="16" t="n"/>
      <c r="M123" s="16" t="n"/>
      <c r="N123" s="10" t="n"/>
      <c r="O123" s="6">
        <f>IF(G123="","",IFERROR(VLOOKUP(G123,MOT,2,FALSE),"código inválido"))</f>
        <v/>
      </c>
      <c r="P123" s="12">
        <f>IF(ISNUMBER(J123),COUNT(J$6:J123),"")</f>
        <v/>
      </c>
    </row>
    <row r="124">
      <c r="A124" s="13" t="n"/>
      <c r="B124" s="10" t="n"/>
      <c r="C124" s="10" t="n"/>
      <c r="D124" s="14" t="n"/>
      <c r="E124" s="14" t="n"/>
      <c r="F124" s="15">
        <f>IF(AND(ISNUMBER(D124),ISNUMBER(E124)),ROUND(IF(E124&lt;D124,E124+1-D124,E124-D124)*1440,2),IF(ISNUMBER(N124),N124,""))</f>
        <v/>
      </c>
      <c r="G124" s="10" t="n"/>
      <c r="H124" s="6">
        <f>IF(G124="","",IFERROR(VLOOKUP(G124,MOT,3,FALSE),"código inválido"))</f>
        <v/>
      </c>
      <c r="I124" s="10" t="n"/>
      <c r="J124" s="16" t="n"/>
      <c r="K124" s="16" t="n"/>
      <c r="L124" s="16" t="n"/>
      <c r="M124" s="16" t="n"/>
      <c r="N124" s="10" t="n"/>
      <c r="O124" s="6">
        <f>IF(G124="","",IFERROR(VLOOKUP(G124,MOT,2,FALSE),"código inválido"))</f>
        <v/>
      </c>
      <c r="P124" s="12">
        <f>IF(ISNUMBER(J124),COUNT(J$6:J124),"")</f>
        <v/>
      </c>
    </row>
    <row r="125">
      <c r="A125" s="13" t="n"/>
      <c r="B125" s="10" t="n"/>
      <c r="C125" s="10" t="n"/>
      <c r="D125" s="14" t="n"/>
      <c r="E125" s="14" t="n"/>
      <c r="F125" s="15">
        <f>IF(AND(ISNUMBER(D125),ISNUMBER(E125)),ROUND(IF(E125&lt;D125,E125+1-D125,E125-D125)*1440,2),IF(ISNUMBER(N125),N125,""))</f>
        <v/>
      </c>
      <c r="G125" s="10" t="n"/>
      <c r="H125" s="6">
        <f>IF(G125="","",IFERROR(VLOOKUP(G125,MOT,3,FALSE),"código inválido"))</f>
        <v/>
      </c>
      <c r="I125" s="10" t="n"/>
      <c r="J125" s="16" t="n"/>
      <c r="K125" s="16" t="n"/>
      <c r="L125" s="16" t="n"/>
      <c r="M125" s="16" t="n"/>
      <c r="N125" s="10" t="n"/>
      <c r="O125" s="6">
        <f>IF(G125="","",IFERROR(VLOOKUP(G125,MOT,2,FALSE),"código inválido"))</f>
        <v/>
      </c>
      <c r="P125" s="12">
        <f>IF(ISNUMBER(J125),COUNT(J$6:J125),"")</f>
        <v/>
      </c>
    </row>
    <row r="126">
      <c r="A126" s="13" t="n"/>
      <c r="B126" s="10" t="n"/>
      <c r="C126" s="10" t="n"/>
      <c r="D126" s="14" t="n"/>
      <c r="E126" s="14" t="n"/>
      <c r="F126" s="15">
        <f>IF(AND(ISNUMBER(D126),ISNUMBER(E126)),ROUND(IF(E126&lt;D126,E126+1-D126,E126-D126)*1440,2),IF(ISNUMBER(N126),N126,""))</f>
        <v/>
      </c>
      <c r="G126" s="10" t="n"/>
      <c r="H126" s="6">
        <f>IF(G126="","",IFERROR(VLOOKUP(G126,MOT,3,FALSE),"código inválido"))</f>
        <v/>
      </c>
      <c r="I126" s="10" t="n"/>
      <c r="J126" s="16" t="n"/>
      <c r="K126" s="16" t="n"/>
      <c r="L126" s="16" t="n"/>
      <c r="M126" s="16" t="n"/>
      <c r="N126" s="10" t="n"/>
      <c r="O126" s="6">
        <f>IF(G126="","",IFERROR(VLOOKUP(G126,MOT,2,FALSE),"código inválido"))</f>
        <v/>
      </c>
      <c r="P126" s="12">
        <f>IF(ISNUMBER(J126),COUNT(J$6:J126),"")</f>
        <v/>
      </c>
    </row>
    <row r="127">
      <c r="A127" s="13" t="n"/>
      <c r="B127" s="10" t="n"/>
      <c r="C127" s="10" t="n"/>
      <c r="D127" s="14" t="n"/>
      <c r="E127" s="14" t="n"/>
      <c r="F127" s="15">
        <f>IF(AND(ISNUMBER(D127),ISNUMBER(E127)),ROUND(IF(E127&lt;D127,E127+1-D127,E127-D127)*1440,2),IF(ISNUMBER(N127),N127,""))</f>
        <v/>
      </c>
      <c r="G127" s="10" t="n"/>
      <c r="H127" s="6">
        <f>IF(G127="","",IFERROR(VLOOKUP(G127,MOT,3,FALSE),"código inválido"))</f>
        <v/>
      </c>
      <c r="I127" s="10" t="n"/>
      <c r="J127" s="16" t="n"/>
      <c r="K127" s="16" t="n"/>
      <c r="L127" s="16" t="n"/>
      <c r="M127" s="16" t="n"/>
      <c r="N127" s="10" t="n"/>
      <c r="O127" s="6">
        <f>IF(G127="","",IFERROR(VLOOKUP(G127,MOT,2,FALSE),"código inválido"))</f>
        <v/>
      </c>
      <c r="P127" s="12">
        <f>IF(ISNUMBER(J127),COUNT(J$6:J127),"")</f>
        <v/>
      </c>
    </row>
    <row r="128">
      <c r="A128" s="13" t="n"/>
      <c r="B128" s="10" t="n"/>
      <c r="C128" s="10" t="n"/>
      <c r="D128" s="14" t="n"/>
      <c r="E128" s="14" t="n"/>
      <c r="F128" s="15">
        <f>IF(AND(ISNUMBER(D128),ISNUMBER(E128)),ROUND(IF(E128&lt;D128,E128+1-D128,E128-D128)*1440,2),IF(ISNUMBER(N128),N128,""))</f>
        <v/>
      </c>
      <c r="G128" s="10" t="n"/>
      <c r="H128" s="6">
        <f>IF(G128="","",IFERROR(VLOOKUP(G128,MOT,3,FALSE),"código inválido"))</f>
        <v/>
      </c>
      <c r="I128" s="10" t="n"/>
      <c r="J128" s="16" t="n"/>
      <c r="K128" s="16" t="n"/>
      <c r="L128" s="16" t="n"/>
      <c r="M128" s="16" t="n"/>
      <c r="N128" s="10" t="n"/>
      <c r="O128" s="6">
        <f>IF(G128="","",IFERROR(VLOOKUP(G128,MOT,2,FALSE),"código inválido"))</f>
        <v/>
      </c>
      <c r="P128" s="12">
        <f>IF(ISNUMBER(J128),COUNT(J$6:J128),"")</f>
        <v/>
      </c>
    </row>
    <row r="129">
      <c r="A129" s="13" t="n"/>
      <c r="B129" s="10" t="n"/>
      <c r="C129" s="10" t="n"/>
      <c r="D129" s="14" t="n"/>
      <c r="E129" s="14" t="n"/>
      <c r="F129" s="15">
        <f>IF(AND(ISNUMBER(D129),ISNUMBER(E129)),ROUND(IF(E129&lt;D129,E129+1-D129,E129-D129)*1440,2),IF(ISNUMBER(N129),N129,""))</f>
        <v/>
      </c>
      <c r="G129" s="10" t="n"/>
      <c r="H129" s="6">
        <f>IF(G129="","",IFERROR(VLOOKUP(G129,MOT,3,FALSE),"código inválido"))</f>
        <v/>
      </c>
      <c r="I129" s="10" t="n"/>
      <c r="J129" s="16" t="n"/>
      <c r="K129" s="16" t="n"/>
      <c r="L129" s="16" t="n"/>
      <c r="M129" s="16" t="n"/>
      <c r="N129" s="10" t="n"/>
      <c r="O129" s="6">
        <f>IF(G129="","",IFERROR(VLOOKUP(G129,MOT,2,FALSE),"código inválido"))</f>
        <v/>
      </c>
      <c r="P129" s="12">
        <f>IF(ISNUMBER(J129),COUNT(J$6:J129),"")</f>
        <v/>
      </c>
    </row>
    <row r="130">
      <c r="A130" s="13" t="n"/>
      <c r="B130" s="10" t="n"/>
      <c r="C130" s="10" t="n"/>
      <c r="D130" s="14" t="n"/>
      <c r="E130" s="14" t="n"/>
      <c r="F130" s="15">
        <f>IF(AND(ISNUMBER(D130),ISNUMBER(E130)),ROUND(IF(E130&lt;D130,E130+1-D130,E130-D130)*1440,2),IF(ISNUMBER(N130),N130,""))</f>
        <v/>
      </c>
      <c r="G130" s="10" t="n"/>
      <c r="H130" s="6">
        <f>IF(G130="","",IFERROR(VLOOKUP(G130,MOT,3,FALSE),"código inválido"))</f>
        <v/>
      </c>
      <c r="I130" s="10" t="n"/>
      <c r="J130" s="16" t="n"/>
      <c r="K130" s="16" t="n"/>
      <c r="L130" s="16" t="n"/>
      <c r="M130" s="16" t="n"/>
      <c r="N130" s="10" t="n"/>
      <c r="O130" s="6">
        <f>IF(G130="","",IFERROR(VLOOKUP(G130,MOT,2,FALSE),"código inválido"))</f>
        <v/>
      </c>
      <c r="P130" s="12">
        <f>IF(ISNUMBER(J130),COUNT(J$6:J130),"")</f>
        <v/>
      </c>
    </row>
    <row r="131">
      <c r="A131" s="13" t="n"/>
      <c r="B131" s="10" t="n"/>
      <c r="C131" s="10" t="n"/>
      <c r="D131" s="14" t="n"/>
      <c r="E131" s="14" t="n"/>
      <c r="F131" s="15">
        <f>IF(AND(ISNUMBER(D131),ISNUMBER(E131)),ROUND(IF(E131&lt;D131,E131+1-D131,E131-D131)*1440,2),IF(ISNUMBER(N131),N131,""))</f>
        <v/>
      </c>
      <c r="G131" s="10" t="n"/>
      <c r="H131" s="6">
        <f>IF(G131="","",IFERROR(VLOOKUP(G131,MOT,3,FALSE),"código inválido"))</f>
        <v/>
      </c>
      <c r="I131" s="10" t="n"/>
      <c r="J131" s="16" t="n"/>
      <c r="K131" s="16" t="n"/>
      <c r="L131" s="16" t="n"/>
      <c r="M131" s="16" t="n"/>
      <c r="N131" s="10" t="n"/>
      <c r="O131" s="6">
        <f>IF(G131="","",IFERROR(VLOOKUP(G131,MOT,2,FALSE),"código inválido"))</f>
        <v/>
      </c>
      <c r="P131" s="12">
        <f>IF(ISNUMBER(J131),COUNT(J$6:J131),"")</f>
        <v/>
      </c>
    </row>
    <row r="132">
      <c r="A132" s="13" t="n"/>
      <c r="B132" s="10" t="n"/>
      <c r="C132" s="10" t="n"/>
      <c r="D132" s="14" t="n"/>
      <c r="E132" s="14" t="n"/>
      <c r="F132" s="15">
        <f>IF(AND(ISNUMBER(D132),ISNUMBER(E132)),ROUND(IF(E132&lt;D132,E132+1-D132,E132-D132)*1440,2),IF(ISNUMBER(N132),N132,""))</f>
        <v/>
      </c>
      <c r="G132" s="10" t="n"/>
      <c r="H132" s="6">
        <f>IF(G132="","",IFERROR(VLOOKUP(G132,MOT,3,FALSE),"código inválido"))</f>
        <v/>
      </c>
      <c r="I132" s="10" t="n"/>
      <c r="J132" s="16" t="n"/>
      <c r="K132" s="16" t="n"/>
      <c r="L132" s="16" t="n"/>
      <c r="M132" s="16" t="n"/>
      <c r="N132" s="10" t="n"/>
      <c r="O132" s="6">
        <f>IF(G132="","",IFERROR(VLOOKUP(G132,MOT,2,FALSE),"código inválido"))</f>
        <v/>
      </c>
      <c r="P132" s="12">
        <f>IF(ISNUMBER(J132),COUNT(J$6:J132),"")</f>
        <v/>
      </c>
    </row>
    <row r="133">
      <c r="A133" s="13" t="n"/>
      <c r="B133" s="10" t="n"/>
      <c r="C133" s="10" t="n"/>
      <c r="D133" s="14" t="n"/>
      <c r="E133" s="14" t="n"/>
      <c r="F133" s="15">
        <f>IF(AND(ISNUMBER(D133),ISNUMBER(E133)),ROUND(IF(E133&lt;D133,E133+1-D133,E133-D133)*1440,2),IF(ISNUMBER(N133),N133,""))</f>
        <v/>
      </c>
      <c r="G133" s="10" t="n"/>
      <c r="H133" s="6">
        <f>IF(G133="","",IFERROR(VLOOKUP(G133,MOT,3,FALSE),"código inválido"))</f>
        <v/>
      </c>
      <c r="I133" s="10" t="n"/>
      <c r="J133" s="16" t="n"/>
      <c r="K133" s="16" t="n"/>
      <c r="L133" s="16" t="n"/>
      <c r="M133" s="16" t="n"/>
      <c r="N133" s="10" t="n"/>
      <c r="O133" s="6">
        <f>IF(G133="","",IFERROR(VLOOKUP(G133,MOT,2,FALSE),"código inválido"))</f>
        <v/>
      </c>
      <c r="P133" s="12">
        <f>IF(ISNUMBER(J133),COUNT(J$6:J133),"")</f>
        <v/>
      </c>
    </row>
    <row r="134">
      <c r="A134" s="13" t="n"/>
      <c r="B134" s="10" t="n"/>
      <c r="C134" s="10" t="n"/>
      <c r="D134" s="14" t="n"/>
      <c r="E134" s="14" t="n"/>
      <c r="F134" s="15">
        <f>IF(AND(ISNUMBER(D134),ISNUMBER(E134)),ROUND(IF(E134&lt;D134,E134+1-D134,E134-D134)*1440,2),IF(ISNUMBER(N134),N134,""))</f>
        <v/>
      </c>
      <c r="G134" s="10" t="n"/>
      <c r="H134" s="6">
        <f>IF(G134="","",IFERROR(VLOOKUP(G134,MOT,3,FALSE),"código inválido"))</f>
        <v/>
      </c>
      <c r="I134" s="10" t="n"/>
      <c r="J134" s="16" t="n"/>
      <c r="K134" s="16" t="n"/>
      <c r="L134" s="16" t="n"/>
      <c r="M134" s="16" t="n"/>
      <c r="N134" s="10" t="n"/>
      <c r="O134" s="6">
        <f>IF(G134="","",IFERROR(VLOOKUP(G134,MOT,2,FALSE),"código inválido"))</f>
        <v/>
      </c>
      <c r="P134" s="12">
        <f>IF(ISNUMBER(J134),COUNT(J$6:J134),"")</f>
        <v/>
      </c>
    </row>
    <row r="135">
      <c r="A135" s="13" t="n"/>
      <c r="B135" s="10" t="n"/>
      <c r="C135" s="10" t="n"/>
      <c r="D135" s="14" t="n"/>
      <c r="E135" s="14" t="n"/>
      <c r="F135" s="15">
        <f>IF(AND(ISNUMBER(D135),ISNUMBER(E135)),ROUND(IF(E135&lt;D135,E135+1-D135,E135-D135)*1440,2),IF(ISNUMBER(N135),N135,""))</f>
        <v/>
      </c>
      <c r="G135" s="10" t="n"/>
      <c r="H135" s="6">
        <f>IF(G135="","",IFERROR(VLOOKUP(G135,MOT,3,FALSE),"código inválido"))</f>
        <v/>
      </c>
      <c r="I135" s="10" t="n"/>
      <c r="J135" s="16" t="n"/>
      <c r="K135" s="16" t="n"/>
      <c r="L135" s="16" t="n"/>
      <c r="M135" s="16" t="n"/>
      <c r="N135" s="10" t="n"/>
      <c r="O135" s="6">
        <f>IF(G135="","",IFERROR(VLOOKUP(G135,MOT,2,FALSE),"código inválido"))</f>
        <v/>
      </c>
      <c r="P135" s="12">
        <f>IF(ISNUMBER(J135),COUNT(J$6:J135),"")</f>
        <v/>
      </c>
    </row>
    <row r="136">
      <c r="A136" s="13" t="n"/>
      <c r="B136" s="10" t="n"/>
      <c r="C136" s="10" t="n"/>
      <c r="D136" s="14" t="n"/>
      <c r="E136" s="14" t="n"/>
      <c r="F136" s="15">
        <f>IF(AND(ISNUMBER(D136),ISNUMBER(E136)),ROUND(IF(E136&lt;D136,E136+1-D136,E136-D136)*1440,2),IF(ISNUMBER(N136),N136,""))</f>
        <v/>
      </c>
      <c r="G136" s="10" t="n"/>
      <c r="H136" s="6">
        <f>IF(G136="","",IFERROR(VLOOKUP(G136,MOT,3,FALSE),"código inválido"))</f>
        <v/>
      </c>
      <c r="I136" s="10" t="n"/>
      <c r="J136" s="16" t="n"/>
      <c r="K136" s="16" t="n"/>
      <c r="L136" s="16" t="n"/>
      <c r="M136" s="16" t="n"/>
      <c r="N136" s="10" t="n"/>
      <c r="O136" s="6">
        <f>IF(G136="","",IFERROR(VLOOKUP(G136,MOT,2,FALSE),"código inválido"))</f>
        <v/>
      </c>
      <c r="P136" s="12">
        <f>IF(ISNUMBER(J136),COUNT(J$6:J136),"")</f>
        <v/>
      </c>
    </row>
    <row r="137">
      <c r="A137" s="13" t="n"/>
      <c r="B137" s="10" t="n"/>
      <c r="C137" s="10" t="n"/>
      <c r="D137" s="14" t="n"/>
      <c r="E137" s="14" t="n"/>
      <c r="F137" s="15">
        <f>IF(AND(ISNUMBER(D137),ISNUMBER(E137)),ROUND(IF(E137&lt;D137,E137+1-D137,E137-D137)*1440,2),IF(ISNUMBER(N137),N137,""))</f>
        <v/>
      </c>
      <c r="G137" s="10" t="n"/>
      <c r="H137" s="6">
        <f>IF(G137="","",IFERROR(VLOOKUP(G137,MOT,3,FALSE),"código inválido"))</f>
        <v/>
      </c>
      <c r="I137" s="10" t="n"/>
      <c r="J137" s="16" t="n"/>
      <c r="K137" s="16" t="n"/>
      <c r="L137" s="16" t="n"/>
      <c r="M137" s="16" t="n"/>
      <c r="N137" s="10" t="n"/>
      <c r="O137" s="6">
        <f>IF(G137="","",IFERROR(VLOOKUP(G137,MOT,2,FALSE),"código inválido"))</f>
        <v/>
      </c>
      <c r="P137" s="12">
        <f>IF(ISNUMBER(J137),COUNT(J$6:J137),"")</f>
        <v/>
      </c>
    </row>
    <row r="138">
      <c r="A138" s="13" t="n"/>
      <c r="B138" s="10" t="n"/>
      <c r="C138" s="10" t="n"/>
      <c r="D138" s="14" t="n"/>
      <c r="E138" s="14" t="n"/>
      <c r="F138" s="15">
        <f>IF(AND(ISNUMBER(D138),ISNUMBER(E138)),ROUND(IF(E138&lt;D138,E138+1-D138,E138-D138)*1440,2),IF(ISNUMBER(N138),N138,""))</f>
        <v/>
      </c>
      <c r="G138" s="10" t="n"/>
      <c r="H138" s="6">
        <f>IF(G138="","",IFERROR(VLOOKUP(G138,MOT,3,FALSE),"código inválido"))</f>
        <v/>
      </c>
      <c r="I138" s="10" t="n"/>
      <c r="J138" s="16" t="n"/>
      <c r="K138" s="16" t="n"/>
      <c r="L138" s="16" t="n"/>
      <c r="M138" s="16" t="n"/>
      <c r="N138" s="10" t="n"/>
      <c r="O138" s="6">
        <f>IF(G138="","",IFERROR(VLOOKUP(G138,MOT,2,FALSE),"código inválido"))</f>
        <v/>
      </c>
      <c r="P138" s="12">
        <f>IF(ISNUMBER(J138),COUNT(J$6:J138),"")</f>
        <v/>
      </c>
    </row>
    <row r="139">
      <c r="A139" s="13" t="n"/>
      <c r="B139" s="10" t="n"/>
      <c r="C139" s="10" t="n"/>
      <c r="D139" s="14" t="n"/>
      <c r="E139" s="14" t="n"/>
      <c r="F139" s="15">
        <f>IF(AND(ISNUMBER(D139),ISNUMBER(E139)),ROUND(IF(E139&lt;D139,E139+1-D139,E139-D139)*1440,2),IF(ISNUMBER(N139),N139,""))</f>
        <v/>
      </c>
      <c r="G139" s="10" t="n"/>
      <c r="H139" s="6">
        <f>IF(G139="","",IFERROR(VLOOKUP(G139,MOT,3,FALSE),"código inválido"))</f>
        <v/>
      </c>
      <c r="I139" s="10" t="n"/>
      <c r="J139" s="16" t="n"/>
      <c r="K139" s="16" t="n"/>
      <c r="L139" s="16" t="n"/>
      <c r="M139" s="16" t="n"/>
      <c r="N139" s="10" t="n"/>
      <c r="O139" s="6">
        <f>IF(G139="","",IFERROR(VLOOKUP(G139,MOT,2,FALSE),"código inválido"))</f>
        <v/>
      </c>
      <c r="P139" s="12">
        <f>IF(ISNUMBER(J139),COUNT(J$6:J139),"")</f>
        <v/>
      </c>
    </row>
    <row r="140">
      <c r="A140" s="13" t="n"/>
      <c r="B140" s="10" t="n"/>
      <c r="C140" s="10" t="n"/>
      <c r="D140" s="14" t="n"/>
      <c r="E140" s="14" t="n"/>
      <c r="F140" s="15">
        <f>IF(AND(ISNUMBER(D140),ISNUMBER(E140)),ROUND(IF(E140&lt;D140,E140+1-D140,E140-D140)*1440,2),IF(ISNUMBER(N140),N140,""))</f>
        <v/>
      </c>
      <c r="G140" s="10" t="n"/>
      <c r="H140" s="6">
        <f>IF(G140="","",IFERROR(VLOOKUP(G140,MOT,3,FALSE),"código inválido"))</f>
        <v/>
      </c>
      <c r="I140" s="10" t="n"/>
      <c r="J140" s="16" t="n"/>
      <c r="K140" s="16" t="n"/>
      <c r="L140" s="16" t="n"/>
      <c r="M140" s="16" t="n"/>
      <c r="N140" s="10" t="n"/>
      <c r="O140" s="6">
        <f>IF(G140="","",IFERROR(VLOOKUP(G140,MOT,2,FALSE),"código inválido"))</f>
        <v/>
      </c>
      <c r="P140" s="12">
        <f>IF(ISNUMBER(J140),COUNT(J$6:J140),"")</f>
        <v/>
      </c>
    </row>
    <row r="141">
      <c r="A141" s="13" t="n"/>
      <c r="B141" s="10" t="n"/>
      <c r="C141" s="10" t="n"/>
      <c r="D141" s="14" t="n"/>
      <c r="E141" s="14" t="n"/>
      <c r="F141" s="15">
        <f>IF(AND(ISNUMBER(D141),ISNUMBER(E141)),ROUND(IF(E141&lt;D141,E141+1-D141,E141-D141)*1440,2),IF(ISNUMBER(N141),N141,""))</f>
        <v/>
      </c>
      <c r="G141" s="10" t="n"/>
      <c r="H141" s="6">
        <f>IF(G141="","",IFERROR(VLOOKUP(G141,MOT,3,FALSE),"código inválido"))</f>
        <v/>
      </c>
      <c r="I141" s="10" t="n"/>
      <c r="J141" s="16" t="n"/>
      <c r="K141" s="16" t="n"/>
      <c r="L141" s="16" t="n"/>
      <c r="M141" s="16" t="n"/>
      <c r="N141" s="10" t="n"/>
      <c r="O141" s="6">
        <f>IF(G141="","",IFERROR(VLOOKUP(G141,MOT,2,FALSE),"código inválido"))</f>
        <v/>
      </c>
      <c r="P141" s="12">
        <f>IF(ISNUMBER(J141),COUNT(J$6:J141),"")</f>
        <v/>
      </c>
    </row>
    <row r="142">
      <c r="A142" s="13" t="n"/>
      <c r="B142" s="10" t="n"/>
      <c r="C142" s="10" t="n"/>
      <c r="D142" s="14" t="n"/>
      <c r="E142" s="14" t="n"/>
      <c r="F142" s="15">
        <f>IF(AND(ISNUMBER(D142),ISNUMBER(E142)),ROUND(IF(E142&lt;D142,E142+1-D142,E142-D142)*1440,2),IF(ISNUMBER(N142),N142,""))</f>
        <v/>
      </c>
      <c r="G142" s="10" t="n"/>
      <c r="H142" s="6">
        <f>IF(G142="","",IFERROR(VLOOKUP(G142,MOT,3,FALSE),"código inválido"))</f>
        <v/>
      </c>
      <c r="I142" s="10" t="n"/>
      <c r="J142" s="16" t="n"/>
      <c r="K142" s="16" t="n"/>
      <c r="L142" s="16" t="n"/>
      <c r="M142" s="16" t="n"/>
      <c r="N142" s="10" t="n"/>
      <c r="O142" s="6">
        <f>IF(G142="","",IFERROR(VLOOKUP(G142,MOT,2,FALSE),"código inválido"))</f>
        <v/>
      </c>
      <c r="P142" s="12">
        <f>IF(ISNUMBER(J142),COUNT(J$6:J142),"")</f>
        <v/>
      </c>
    </row>
    <row r="143">
      <c r="A143" s="13" t="n"/>
      <c r="B143" s="10" t="n"/>
      <c r="C143" s="10" t="n"/>
      <c r="D143" s="14" t="n"/>
      <c r="E143" s="14" t="n"/>
      <c r="F143" s="15">
        <f>IF(AND(ISNUMBER(D143),ISNUMBER(E143)),ROUND(IF(E143&lt;D143,E143+1-D143,E143-D143)*1440,2),IF(ISNUMBER(N143),N143,""))</f>
        <v/>
      </c>
      <c r="G143" s="10" t="n"/>
      <c r="H143" s="6">
        <f>IF(G143="","",IFERROR(VLOOKUP(G143,MOT,3,FALSE),"código inválido"))</f>
        <v/>
      </c>
      <c r="I143" s="10" t="n"/>
      <c r="J143" s="16" t="n"/>
      <c r="K143" s="16" t="n"/>
      <c r="L143" s="16" t="n"/>
      <c r="M143" s="16" t="n"/>
      <c r="N143" s="10" t="n"/>
      <c r="O143" s="6">
        <f>IF(G143="","",IFERROR(VLOOKUP(G143,MOT,2,FALSE),"código inválido"))</f>
        <v/>
      </c>
      <c r="P143" s="12">
        <f>IF(ISNUMBER(J143),COUNT(J$6:J143),"")</f>
        <v/>
      </c>
    </row>
    <row r="144">
      <c r="A144" s="13" t="n"/>
      <c r="B144" s="10" t="n"/>
      <c r="C144" s="10" t="n"/>
      <c r="D144" s="14" t="n"/>
      <c r="E144" s="14" t="n"/>
      <c r="F144" s="15">
        <f>IF(AND(ISNUMBER(D144),ISNUMBER(E144)),ROUND(IF(E144&lt;D144,E144+1-D144,E144-D144)*1440,2),IF(ISNUMBER(N144),N144,""))</f>
        <v/>
      </c>
      <c r="G144" s="10" t="n"/>
      <c r="H144" s="6">
        <f>IF(G144="","",IFERROR(VLOOKUP(G144,MOT,3,FALSE),"código inválido"))</f>
        <v/>
      </c>
      <c r="I144" s="10" t="n"/>
      <c r="J144" s="16" t="n"/>
      <c r="K144" s="16" t="n"/>
      <c r="L144" s="16" t="n"/>
      <c r="M144" s="16" t="n"/>
      <c r="N144" s="10" t="n"/>
      <c r="O144" s="6">
        <f>IF(G144="","",IFERROR(VLOOKUP(G144,MOT,2,FALSE),"código inválido"))</f>
        <v/>
      </c>
      <c r="P144" s="12">
        <f>IF(ISNUMBER(J144),COUNT(J$6:J144),"")</f>
        <v/>
      </c>
    </row>
    <row r="145">
      <c r="A145" s="13" t="n"/>
      <c r="B145" s="10" t="n"/>
      <c r="C145" s="10" t="n"/>
      <c r="D145" s="14" t="n"/>
      <c r="E145" s="14" t="n"/>
      <c r="F145" s="15">
        <f>IF(AND(ISNUMBER(D145),ISNUMBER(E145)),ROUND(IF(E145&lt;D145,E145+1-D145,E145-D145)*1440,2),IF(ISNUMBER(N145),N145,""))</f>
        <v/>
      </c>
      <c r="G145" s="10" t="n"/>
      <c r="H145" s="6">
        <f>IF(G145="","",IFERROR(VLOOKUP(G145,MOT,3,FALSE),"código inválido"))</f>
        <v/>
      </c>
      <c r="I145" s="10" t="n"/>
      <c r="J145" s="16" t="n"/>
      <c r="K145" s="16" t="n"/>
      <c r="L145" s="16" t="n"/>
      <c r="M145" s="16" t="n"/>
      <c r="N145" s="10" t="n"/>
      <c r="O145" s="6">
        <f>IF(G145="","",IFERROR(VLOOKUP(G145,MOT,2,FALSE),"código inválido"))</f>
        <v/>
      </c>
      <c r="P145" s="12">
        <f>IF(ISNUMBER(J145),COUNT(J$6:J145),"")</f>
        <v/>
      </c>
    </row>
    <row r="146">
      <c r="A146" s="13" t="n"/>
      <c r="B146" s="10" t="n"/>
      <c r="C146" s="10" t="n"/>
      <c r="D146" s="14" t="n"/>
      <c r="E146" s="14" t="n"/>
      <c r="F146" s="15">
        <f>IF(AND(ISNUMBER(D146),ISNUMBER(E146)),ROUND(IF(E146&lt;D146,E146+1-D146,E146-D146)*1440,2),IF(ISNUMBER(N146),N146,""))</f>
        <v/>
      </c>
      <c r="G146" s="10" t="n"/>
      <c r="H146" s="6">
        <f>IF(G146="","",IFERROR(VLOOKUP(G146,MOT,3,FALSE),"código inválido"))</f>
        <v/>
      </c>
      <c r="I146" s="10" t="n"/>
      <c r="J146" s="16" t="n"/>
      <c r="K146" s="16" t="n"/>
      <c r="L146" s="16" t="n"/>
      <c r="M146" s="16" t="n"/>
      <c r="N146" s="10" t="n"/>
      <c r="O146" s="6">
        <f>IF(G146="","",IFERROR(VLOOKUP(G146,MOT,2,FALSE),"código inválido"))</f>
        <v/>
      </c>
      <c r="P146" s="12">
        <f>IF(ISNUMBER(J146),COUNT(J$6:J146),"")</f>
        <v/>
      </c>
    </row>
    <row r="147">
      <c r="A147" s="13" t="n"/>
      <c r="B147" s="10" t="n"/>
      <c r="C147" s="10" t="n"/>
      <c r="D147" s="14" t="n"/>
      <c r="E147" s="14" t="n"/>
      <c r="F147" s="15">
        <f>IF(AND(ISNUMBER(D147),ISNUMBER(E147)),ROUND(IF(E147&lt;D147,E147+1-D147,E147-D147)*1440,2),IF(ISNUMBER(N147),N147,""))</f>
        <v/>
      </c>
      <c r="G147" s="10" t="n"/>
      <c r="H147" s="6">
        <f>IF(G147="","",IFERROR(VLOOKUP(G147,MOT,3,FALSE),"código inválido"))</f>
        <v/>
      </c>
      <c r="I147" s="10" t="n"/>
      <c r="J147" s="16" t="n"/>
      <c r="K147" s="16" t="n"/>
      <c r="L147" s="16" t="n"/>
      <c r="M147" s="16" t="n"/>
      <c r="N147" s="10" t="n"/>
      <c r="O147" s="6">
        <f>IF(G147="","",IFERROR(VLOOKUP(G147,MOT,2,FALSE),"código inválido"))</f>
        <v/>
      </c>
      <c r="P147" s="12">
        <f>IF(ISNUMBER(J147),COUNT(J$6:J147),"")</f>
        <v/>
      </c>
    </row>
    <row r="148">
      <c r="A148" s="13" t="n"/>
      <c r="B148" s="10" t="n"/>
      <c r="C148" s="10" t="n"/>
      <c r="D148" s="14" t="n"/>
      <c r="E148" s="14" t="n"/>
      <c r="F148" s="15">
        <f>IF(AND(ISNUMBER(D148),ISNUMBER(E148)),ROUND(IF(E148&lt;D148,E148+1-D148,E148-D148)*1440,2),IF(ISNUMBER(N148),N148,""))</f>
        <v/>
      </c>
      <c r="G148" s="10" t="n"/>
      <c r="H148" s="6">
        <f>IF(G148="","",IFERROR(VLOOKUP(G148,MOT,3,FALSE),"código inválido"))</f>
        <v/>
      </c>
      <c r="I148" s="10" t="n"/>
      <c r="J148" s="16" t="n"/>
      <c r="K148" s="16" t="n"/>
      <c r="L148" s="16" t="n"/>
      <c r="M148" s="16" t="n"/>
      <c r="N148" s="10" t="n"/>
      <c r="O148" s="6">
        <f>IF(G148="","",IFERROR(VLOOKUP(G148,MOT,2,FALSE),"código inválido"))</f>
        <v/>
      </c>
      <c r="P148" s="12">
        <f>IF(ISNUMBER(J148),COUNT(J$6:J148),"")</f>
        <v/>
      </c>
    </row>
    <row r="149">
      <c r="A149" s="13" t="n"/>
      <c r="B149" s="10" t="n"/>
      <c r="C149" s="10" t="n"/>
      <c r="D149" s="14" t="n"/>
      <c r="E149" s="14" t="n"/>
      <c r="F149" s="15">
        <f>IF(AND(ISNUMBER(D149),ISNUMBER(E149)),ROUND(IF(E149&lt;D149,E149+1-D149,E149-D149)*1440,2),IF(ISNUMBER(N149),N149,""))</f>
        <v/>
      </c>
      <c r="G149" s="10" t="n"/>
      <c r="H149" s="6">
        <f>IF(G149="","",IFERROR(VLOOKUP(G149,MOT,3,FALSE),"código inválido"))</f>
        <v/>
      </c>
      <c r="I149" s="10" t="n"/>
      <c r="J149" s="16" t="n"/>
      <c r="K149" s="16" t="n"/>
      <c r="L149" s="16" t="n"/>
      <c r="M149" s="16" t="n"/>
      <c r="N149" s="10" t="n"/>
      <c r="O149" s="6">
        <f>IF(G149="","",IFERROR(VLOOKUP(G149,MOT,2,FALSE),"código inválido"))</f>
        <v/>
      </c>
      <c r="P149" s="12">
        <f>IF(ISNUMBER(J149),COUNT(J$6:J149),"")</f>
        <v/>
      </c>
    </row>
    <row r="150">
      <c r="A150" s="13" t="n"/>
      <c r="B150" s="10" t="n"/>
      <c r="C150" s="10" t="n"/>
      <c r="D150" s="14" t="n"/>
      <c r="E150" s="14" t="n"/>
      <c r="F150" s="15">
        <f>IF(AND(ISNUMBER(D150),ISNUMBER(E150)),ROUND(IF(E150&lt;D150,E150+1-D150,E150-D150)*1440,2),IF(ISNUMBER(N150),N150,""))</f>
        <v/>
      </c>
      <c r="G150" s="10" t="n"/>
      <c r="H150" s="6">
        <f>IF(G150="","",IFERROR(VLOOKUP(G150,MOT,3,FALSE),"código inválido"))</f>
        <v/>
      </c>
      <c r="I150" s="10" t="n"/>
      <c r="J150" s="16" t="n"/>
      <c r="K150" s="16" t="n"/>
      <c r="L150" s="16" t="n"/>
      <c r="M150" s="16" t="n"/>
      <c r="N150" s="10" t="n"/>
      <c r="O150" s="6">
        <f>IF(G150="","",IFERROR(VLOOKUP(G150,MOT,2,FALSE),"código inválido"))</f>
        <v/>
      </c>
      <c r="P150" s="12">
        <f>IF(ISNUMBER(J150),COUNT(J$6:J150),"")</f>
        <v/>
      </c>
    </row>
    <row r="151">
      <c r="A151" s="13" t="n"/>
      <c r="B151" s="10" t="n"/>
      <c r="C151" s="10" t="n"/>
      <c r="D151" s="14" t="n"/>
      <c r="E151" s="14" t="n"/>
      <c r="F151" s="15">
        <f>IF(AND(ISNUMBER(D151),ISNUMBER(E151)),ROUND(IF(E151&lt;D151,E151+1-D151,E151-D151)*1440,2),IF(ISNUMBER(N151),N151,""))</f>
        <v/>
      </c>
      <c r="G151" s="10" t="n"/>
      <c r="H151" s="6">
        <f>IF(G151="","",IFERROR(VLOOKUP(G151,MOT,3,FALSE),"código inválido"))</f>
        <v/>
      </c>
      <c r="I151" s="10" t="n"/>
      <c r="J151" s="16" t="n"/>
      <c r="K151" s="16" t="n"/>
      <c r="L151" s="16" t="n"/>
      <c r="M151" s="16" t="n"/>
      <c r="N151" s="10" t="n"/>
      <c r="O151" s="6">
        <f>IF(G151="","",IFERROR(VLOOKUP(G151,MOT,2,FALSE),"código inválido"))</f>
        <v/>
      </c>
      <c r="P151" s="12">
        <f>IF(ISNUMBER(J151),COUNT(J$6:J151),"")</f>
        <v/>
      </c>
    </row>
    <row r="152">
      <c r="A152" s="13" t="n"/>
      <c r="B152" s="10" t="n"/>
      <c r="C152" s="10" t="n"/>
      <c r="D152" s="14" t="n"/>
      <c r="E152" s="14" t="n"/>
      <c r="F152" s="15">
        <f>IF(AND(ISNUMBER(D152),ISNUMBER(E152)),ROUND(IF(E152&lt;D152,E152+1-D152,E152-D152)*1440,2),IF(ISNUMBER(N152),N152,""))</f>
        <v/>
      </c>
      <c r="G152" s="10" t="n"/>
      <c r="H152" s="6">
        <f>IF(G152="","",IFERROR(VLOOKUP(G152,MOT,3,FALSE),"código inválido"))</f>
        <v/>
      </c>
      <c r="I152" s="10" t="n"/>
      <c r="J152" s="16" t="n"/>
      <c r="K152" s="16" t="n"/>
      <c r="L152" s="16" t="n"/>
      <c r="M152" s="16" t="n"/>
      <c r="N152" s="10" t="n"/>
      <c r="O152" s="6">
        <f>IF(G152="","",IFERROR(VLOOKUP(G152,MOT,2,FALSE),"código inválido"))</f>
        <v/>
      </c>
      <c r="P152" s="12">
        <f>IF(ISNUMBER(J152),COUNT(J$6:J152),"")</f>
        <v/>
      </c>
    </row>
    <row r="153">
      <c r="A153" s="13" t="n"/>
      <c r="B153" s="10" t="n"/>
      <c r="C153" s="10" t="n"/>
      <c r="D153" s="14" t="n"/>
      <c r="E153" s="14" t="n"/>
      <c r="F153" s="15">
        <f>IF(AND(ISNUMBER(D153),ISNUMBER(E153)),ROUND(IF(E153&lt;D153,E153+1-D153,E153-D153)*1440,2),IF(ISNUMBER(N153),N153,""))</f>
        <v/>
      </c>
      <c r="G153" s="10" t="n"/>
      <c r="H153" s="6">
        <f>IF(G153="","",IFERROR(VLOOKUP(G153,MOT,3,FALSE),"código inválido"))</f>
        <v/>
      </c>
      <c r="I153" s="10" t="n"/>
      <c r="J153" s="16" t="n"/>
      <c r="K153" s="16" t="n"/>
      <c r="L153" s="16" t="n"/>
      <c r="M153" s="16" t="n"/>
      <c r="N153" s="10" t="n"/>
      <c r="O153" s="6">
        <f>IF(G153="","",IFERROR(VLOOKUP(G153,MOT,2,FALSE),"código inválido"))</f>
        <v/>
      </c>
      <c r="P153" s="12">
        <f>IF(ISNUMBER(J153),COUNT(J$6:J153),"")</f>
        <v/>
      </c>
    </row>
    <row r="154">
      <c r="A154" s="13" t="n"/>
      <c r="B154" s="10" t="n"/>
      <c r="C154" s="10" t="n"/>
      <c r="D154" s="14" t="n"/>
      <c r="E154" s="14" t="n"/>
      <c r="F154" s="15">
        <f>IF(AND(ISNUMBER(D154),ISNUMBER(E154)),ROUND(IF(E154&lt;D154,E154+1-D154,E154-D154)*1440,2),IF(ISNUMBER(N154),N154,""))</f>
        <v/>
      </c>
      <c r="G154" s="10" t="n"/>
      <c r="H154" s="6">
        <f>IF(G154="","",IFERROR(VLOOKUP(G154,MOT,3,FALSE),"código inválido"))</f>
        <v/>
      </c>
      <c r="I154" s="10" t="n"/>
      <c r="J154" s="16" t="n"/>
      <c r="K154" s="16" t="n"/>
      <c r="L154" s="16" t="n"/>
      <c r="M154" s="16" t="n"/>
      <c r="N154" s="10" t="n"/>
      <c r="O154" s="6">
        <f>IF(G154="","",IFERROR(VLOOKUP(G154,MOT,2,FALSE),"código inválido"))</f>
        <v/>
      </c>
      <c r="P154" s="12">
        <f>IF(ISNUMBER(J154),COUNT(J$6:J154),"")</f>
        <v/>
      </c>
    </row>
    <row r="155">
      <c r="A155" s="13" t="n"/>
      <c r="B155" s="10" t="n"/>
      <c r="C155" s="10" t="n"/>
      <c r="D155" s="14" t="n"/>
      <c r="E155" s="14" t="n"/>
      <c r="F155" s="15">
        <f>IF(AND(ISNUMBER(D155),ISNUMBER(E155)),ROUND(IF(E155&lt;D155,E155+1-D155,E155-D155)*1440,2),IF(ISNUMBER(N155),N155,""))</f>
        <v/>
      </c>
      <c r="G155" s="10" t="n"/>
      <c r="H155" s="6">
        <f>IF(G155="","",IFERROR(VLOOKUP(G155,MOT,3,FALSE),"código inválido"))</f>
        <v/>
      </c>
      <c r="I155" s="10" t="n"/>
      <c r="J155" s="16" t="n"/>
      <c r="K155" s="16" t="n"/>
      <c r="L155" s="16" t="n"/>
      <c r="M155" s="16" t="n"/>
      <c r="N155" s="10" t="n"/>
      <c r="O155" s="6">
        <f>IF(G155="","",IFERROR(VLOOKUP(G155,MOT,2,FALSE),"código inválido"))</f>
        <v/>
      </c>
      <c r="P155" s="12">
        <f>IF(ISNUMBER(J155),COUNT(J$6:J155),"")</f>
        <v/>
      </c>
    </row>
    <row r="156">
      <c r="A156" s="13" t="n"/>
      <c r="B156" s="10" t="n"/>
      <c r="C156" s="10" t="n"/>
      <c r="D156" s="14" t="n"/>
      <c r="E156" s="14" t="n"/>
      <c r="F156" s="15">
        <f>IF(AND(ISNUMBER(D156),ISNUMBER(E156)),ROUND(IF(E156&lt;D156,E156+1-D156,E156-D156)*1440,2),IF(ISNUMBER(N156),N156,""))</f>
        <v/>
      </c>
      <c r="G156" s="10" t="n"/>
      <c r="H156" s="6">
        <f>IF(G156="","",IFERROR(VLOOKUP(G156,MOT,3,FALSE),"código inválido"))</f>
        <v/>
      </c>
      <c r="I156" s="10" t="n"/>
      <c r="J156" s="16" t="n"/>
      <c r="K156" s="16" t="n"/>
      <c r="L156" s="16" t="n"/>
      <c r="M156" s="16" t="n"/>
      <c r="N156" s="10" t="n"/>
      <c r="O156" s="6">
        <f>IF(G156="","",IFERROR(VLOOKUP(G156,MOT,2,FALSE),"código inválido"))</f>
        <v/>
      </c>
      <c r="P156" s="12">
        <f>IF(ISNUMBER(J156),COUNT(J$6:J156),"")</f>
        <v/>
      </c>
    </row>
    <row r="157">
      <c r="A157" s="13" t="n"/>
      <c r="B157" s="10" t="n"/>
      <c r="C157" s="10" t="n"/>
      <c r="D157" s="14" t="n"/>
      <c r="E157" s="14" t="n"/>
      <c r="F157" s="15">
        <f>IF(AND(ISNUMBER(D157),ISNUMBER(E157)),ROUND(IF(E157&lt;D157,E157+1-D157,E157-D157)*1440,2),IF(ISNUMBER(N157),N157,""))</f>
        <v/>
      </c>
      <c r="G157" s="10" t="n"/>
      <c r="H157" s="6">
        <f>IF(G157="","",IFERROR(VLOOKUP(G157,MOT,3,FALSE),"código inválido"))</f>
        <v/>
      </c>
      <c r="I157" s="10" t="n"/>
      <c r="J157" s="16" t="n"/>
      <c r="K157" s="16" t="n"/>
      <c r="L157" s="16" t="n"/>
      <c r="M157" s="16" t="n"/>
      <c r="N157" s="10" t="n"/>
      <c r="O157" s="6">
        <f>IF(G157="","",IFERROR(VLOOKUP(G157,MOT,2,FALSE),"código inválido"))</f>
        <v/>
      </c>
      <c r="P157" s="12">
        <f>IF(ISNUMBER(J157),COUNT(J$6:J157),"")</f>
        <v/>
      </c>
    </row>
    <row r="158">
      <c r="A158" s="13" t="n"/>
      <c r="B158" s="10" t="n"/>
      <c r="C158" s="10" t="n"/>
      <c r="D158" s="14" t="n"/>
      <c r="E158" s="14" t="n"/>
      <c r="F158" s="15">
        <f>IF(AND(ISNUMBER(D158),ISNUMBER(E158)),ROUND(IF(E158&lt;D158,E158+1-D158,E158-D158)*1440,2),IF(ISNUMBER(N158),N158,""))</f>
        <v/>
      </c>
      <c r="G158" s="10" t="n"/>
      <c r="H158" s="6">
        <f>IF(G158="","",IFERROR(VLOOKUP(G158,MOT,3,FALSE),"código inválido"))</f>
        <v/>
      </c>
      <c r="I158" s="10" t="n"/>
      <c r="J158" s="16" t="n"/>
      <c r="K158" s="16" t="n"/>
      <c r="L158" s="16" t="n"/>
      <c r="M158" s="16" t="n"/>
      <c r="N158" s="10" t="n"/>
      <c r="O158" s="6">
        <f>IF(G158="","",IFERROR(VLOOKUP(G158,MOT,2,FALSE),"código inválido"))</f>
        <v/>
      </c>
      <c r="P158" s="12">
        <f>IF(ISNUMBER(J158),COUNT(J$6:J158),"")</f>
        <v/>
      </c>
    </row>
    <row r="159">
      <c r="A159" s="13" t="n"/>
      <c r="B159" s="10" t="n"/>
      <c r="C159" s="10" t="n"/>
      <c r="D159" s="14" t="n"/>
      <c r="E159" s="14" t="n"/>
      <c r="F159" s="15">
        <f>IF(AND(ISNUMBER(D159),ISNUMBER(E159)),ROUND(IF(E159&lt;D159,E159+1-D159,E159-D159)*1440,2),IF(ISNUMBER(N159),N159,""))</f>
        <v/>
      </c>
      <c r="G159" s="10" t="n"/>
      <c r="H159" s="6">
        <f>IF(G159="","",IFERROR(VLOOKUP(G159,MOT,3,FALSE),"código inválido"))</f>
        <v/>
      </c>
      <c r="I159" s="10" t="n"/>
      <c r="J159" s="16" t="n"/>
      <c r="K159" s="16" t="n"/>
      <c r="L159" s="16" t="n"/>
      <c r="M159" s="16" t="n"/>
      <c r="N159" s="10" t="n"/>
      <c r="O159" s="6">
        <f>IF(G159="","",IFERROR(VLOOKUP(G159,MOT,2,FALSE),"código inválido"))</f>
        <v/>
      </c>
      <c r="P159" s="12">
        <f>IF(ISNUMBER(J159),COUNT(J$6:J159),"")</f>
        <v/>
      </c>
    </row>
    <row r="160">
      <c r="A160" s="13" t="n"/>
      <c r="B160" s="10" t="n"/>
      <c r="C160" s="10" t="n"/>
      <c r="D160" s="14" t="n"/>
      <c r="E160" s="14" t="n"/>
      <c r="F160" s="15">
        <f>IF(AND(ISNUMBER(D160),ISNUMBER(E160)),ROUND(IF(E160&lt;D160,E160+1-D160,E160-D160)*1440,2),IF(ISNUMBER(N160),N160,""))</f>
        <v/>
      </c>
      <c r="G160" s="10" t="n"/>
      <c r="H160" s="6">
        <f>IF(G160="","",IFERROR(VLOOKUP(G160,MOT,3,FALSE),"código inválido"))</f>
        <v/>
      </c>
      <c r="I160" s="10" t="n"/>
      <c r="J160" s="16" t="n"/>
      <c r="K160" s="16" t="n"/>
      <c r="L160" s="16" t="n"/>
      <c r="M160" s="16" t="n"/>
      <c r="N160" s="10" t="n"/>
      <c r="O160" s="6">
        <f>IF(G160="","",IFERROR(VLOOKUP(G160,MOT,2,FALSE),"código inválido"))</f>
        <v/>
      </c>
      <c r="P160" s="12">
        <f>IF(ISNUMBER(J160),COUNT(J$6:J160),"")</f>
        <v/>
      </c>
    </row>
    <row r="161">
      <c r="A161" s="13" t="n"/>
      <c r="B161" s="10" t="n"/>
      <c r="C161" s="10" t="n"/>
      <c r="D161" s="14" t="n"/>
      <c r="E161" s="14" t="n"/>
      <c r="F161" s="15">
        <f>IF(AND(ISNUMBER(D161),ISNUMBER(E161)),ROUND(IF(E161&lt;D161,E161+1-D161,E161-D161)*1440,2),IF(ISNUMBER(N161),N161,""))</f>
        <v/>
      </c>
      <c r="G161" s="10" t="n"/>
      <c r="H161" s="6">
        <f>IF(G161="","",IFERROR(VLOOKUP(G161,MOT,3,FALSE),"código inválido"))</f>
        <v/>
      </c>
      <c r="I161" s="10" t="n"/>
      <c r="J161" s="16" t="n"/>
      <c r="K161" s="16" t="n"/>
      <c r="L161" s="16" t="n"/>
      <c r="M161" s="16" t="n"/>
      <c r="N161" s="10" t="n"/>
      <c r="O161" s="6">
        <f>IF(G161="","",IFERROR(VLOOKUP(G161,MOT,2,FALSE),"código inválido"))</f>
        <v/>
      </c>
      <c r="P161" s="12">
        <f>IF(ISNUMBER(J161),COUNT(J$6:J161),"")</f>
        <v/>
      </c>
    </row>
    <row r="162">
      <c r="A162" s="13" t="n"/>
      <c r="B162" s="10" t="n"/>
      <c r="C162" s="10" t="n"/>
      <c r="D162" s="14" t="n"/>
      <c r="E162" s="14" t="n"/>
      <c r="F162" s="15">
        <f>IF(AND(ISNUMBER(D162),ISNUMBER(E162)),ROUND(IF(E162&lt;D162,E162+1-D162,E162-D162)*1440,2),IF(ISNUMBER(N162),N162,""))</f>
        <v/>
      </c>
      <c r="G162" s="10" t="n"/>
      <c r="H162" s="6">
        <f>IF(G162="","",IFERROR(VLOOKUP(G162,MOT,3,FALSE),"código inválido"))</f>
        <v/>
      </c>
      <c r="I162" s="10" t="n"/>
      <c r="J162" s="16" t="n"/>
      <c r="K162" s="16" t="n"/>
      <c r="L162" s="16" t="n"/>
      <c r="M162" s="16" t="n"/>
      <c r="N162" s="10" t="n"/>
      <c r="O162" s="6">
        <f>IF(G162="","",IFERROR(VLOOKUP(G162,MOT,2,FALSE),"código inválido"))</f>
        <v/>
      </c>
      <c r="P162" s="12">
        <f>IF(ISNUMBER(J162),COUNT(J$6:J162),"")</f>
        <v/>
      </c>
    </row>
    <row r="163">
      <c r="A163" s="13" t="n"/>
      <c r="B163" s="10" t="n"/>
      <c r="C163" s="10" t="n"/>
      <c r="D163" s="14" t="n"/>
      <c r="E163" s="14" t="n"/>
      <c r="F163" s="15">
        <f>IF(AND(ISNUMBER(D163),ISNUMBER(E163)),ROUND(IF(E163&lt;D163,E163+1-D163,E163-D163)*1440,2),IF(ISNUMBER(N163),N163,""))</f>
        <v/>
      </c>
      <c r="G163" s="10" t="n"/>
      <c r="H163" s="6">
        <f>IF(G163="","",IFERROR(VLOOKUP(G163,MOT,3,FALSE),"código inválido"))</f>
        <v/>
      </c>
      <c r="I163" s="10" t="n"/>
      <c r="J163" s="16" t="n"/>
      <c r="K163" s="16" t="n"/>
      <c r="L163" s="16" t="n"/>
      <c r="M163" s="16" t="n"/>
      <c r="N163" s="10" t="n"/>
      <c r="O163" s="6">
        <f>IF(G163="","",IFERROR(VLOOKUP(G163,MOT,2,FALSE),"código inválido"))</f>
        <v/>
      </c>
      <c r="P163" s="12">
        <f>IF(ISNUMBER(J163),COUNT(J$6:J163),"")</f>
        <v/>
      </c>
    </row>
    <row r="164">
      <c r="A164" s="13" t="n"/>
      <c r="B164" s="10" t="n"/>
      <c r="C164" s="10" t="n"/>
      <c r="D164" s="14" t="n"/>
      <c r="E164" s="14" t="n"/>
      <c r="F164" s="15">
        <f>IF(AND(ISNUMBER(D164),ISNUMBER(E164)),ROUND(IF(E164&lt;D164,E164+1-D164,E164-D164)*1440,2),IF(ISNUMBER(N164),N164,""))</f>
        <v/>
      </c>
      <c r="G164" s="10" t="n"/>
      <c r="H164" s="6">
        <f>IF(G164="","",IFERROR(VLOOKUP(G164,MOT,3,FALSE),"código inválido"))</f>
        <v/>
      </c>
      <c r="I164" s="10" t="n"/>
      <c r="J164" s="16" t="n"/>
      <c r="K164" s="16" t="n"/>
      <c r="L164" s="16" t="n"/>
      <c r="M164" s="16" t="n"/>
      <c r="N164" s="10" t="n"/>
      <c r="O164" s="6">
        <f>IF(G164="","",IFERROR(VLOOKUP(G164,MOT,2,FALSE),"código inválido"))</f>
        <v/>
      </c>
      <c r="P164" s="12">
        <f>IF(ISNUMBER(J164),COUNT(J$6:J164),"")</f>
        <v/>
      </c>
    </row>
    <row r="165">
      <c r="A165" s="13" t="n"/>
      <c r="B165" s="10" t="n"/>
      <c r="C165" s="10" t="n"/>
      <c r="D165" s="14" t="n"/>
      <c r="E165" s="14" t="n"/>
      <c r="F165" s="15">
        <f>IF(AND(ISNUMBER(D165),ISNUMBER(E165)),ROUND(IF(E165&lt;D165,E165+1-D165,E165-D165)*1440,2),IF(ISNUMBER(N165),N165,""))</f>
        <v/>
      </c>
      <c r="G165" s="10" t="n"/>
      <c r="H165" s="6">
        <f>IF(G165="","",IFERROR(VLOOKUP(G165,MOT,3,FALSE),"código inválido"))</f>
        <v/>
      </c>
      <c r="I165" s="10" t="n"/>
      <c r="J165" s="16" t="n"/>
      <c r="K165" s="16" t="n"/>
      <c r="L165" s="16" t="n"/>
      <c r="M165" s="16" t="n"/>
      <c r="N165" s="10" t="n"/>
      <c r="O165" s="6">
        <f>IF(G165="","",IFERROR(VLOOKUP(G165,MOT,2,FALSE),"código inválido"))</f>
        <v/>
      </c>
      <c r="P165" s="12">
        <f>IF(ISNUMBER(J165),COUNT(J$6:J165),"")</f>
        <v/>
      </c>
    </row>
    <row r="166">
      <c r="A166" s="13" t="n"/>
      <c r="B166" s="10" t="n"/>
      <c r="C166" s="10" t="n"/>
      <c r="D166" s="14" t="n"/>
      <c r="E166" s="14" t="n"/>
      <c r="F166" s="15">
        <f>IF(AND(ISNUMBER(D166),ISNUMBER(E166)),ROUND(IF(E166&lt;D166,E166+1-D166,E166-D166)*1440,2),IF(ISNUMBER(N166),N166,""))</f>
        <v/>
      </c>
      <c r="G166" s="10" t="n"/>
      <c r="H166" s="6">
        <f>IF(G166="","",IFERROR(VLOOKUP(G166,MOT,3,FALSE),"código inválido"))</f>
        <v/>
      </c>
      <c r="I166" s="10" t="n"/>
      <c r="J166" s="16" t="n"/>
      <c r="K166" s="16" t="n"/>
      <c r="L166" s="16" t="n"/>
      <c r="M166" s="16" t="n"/>
      <c r="N166" s="10" t="n"/>
      <c r="O166" s="6">
        <f>IF(G166="","",IFERROR(VLOOKUP(G166,MOT,2,FALSE),"código inválido"))</f>
        <v/>
      </c>
      <c r="P166" s="12">
        <f>IF(ISNUMBER(J166),COUNT(J$6:J166),"")</f>
        <v/>
      </c>
    </row>
    <row r="167">
      <c r="A167" s="13" t="n"/>
      <c r="B167" s="10" t="n"/>
      <c r="C167" s="10" t="n"/>
      <c r="D167" s="14" t="n"/>
      <c r="E167" s="14" t="n"/>
      <c r="F167" s="15">
        <f>IF(AND(ISNUMBER(D167),ISNUMBER(E167)),ROUND(IF(E167&lt;D167,E167+1-D167,E167-D167)*1440,2),IF(ISNUMBER(N167),N167,""))</f>
        <v/>
      </c>
      <c r="G167" s="10" t="n"/>
      <c r="H167" s="6">
        <f>IF(G167="","",IFERROR(VLOOKUP(G167,MOT,3,FALSE),"código inválido"))</f>
        <v/>
      </c>
      <c r="I167" s="10" t="n"/>
      <c r="J167" s="16" t="n"/>
      <c r="K167" s="16" t="n"/>
      <c r="L167" s="16" t="n"/>
      <c r="M167" s="16" t="n"/>
      <c r="N167" s="10" t="n"/>
      <c r="O167" s="6">
        <f>IF(G167="","",IFERROR(VLOOKUP(G167,MOT,2,FALSE),"código inválido"))</f>
        <v/>
      </c>
      <c r="P167" s="12">
        <f>IF(ISNUMBER(J167),COUNT(J$6:J167),"")</f>
        <v/>
      </c>
    </row>
    <row r="168">
      <c r="A168" s="13" t="n"/>
      <c r="B168" s="10" t="n"/>
      <c r="C168" s="10" t="n"/>
      <c r="D168" s="14" t="n"/>
      <c r="E168" s="14" t="n"/>
      <c r="F168" s="15">
        <f>IF(AND(ISNUMBER(D168),ISNUMBER(E168)),ROUND(IF(E168&lt;D168,E168+1-D168,E168-D168)*1440,2),IF(ISNUMBER(N168),N168,""))</f>
        <v/>
      </c>
      <c r="G168" s="10" t="n"/>
      <c r="H168" s="6">
        <f>IF(G168="","",IFERROR(VLOOKUP(G168,MOT,3,FALSE),"código inválido"))</f>
        <v/>
      </c>
      <c r="I168" s="10" t="n"/>
      <c r="J168" s="16" t="n"/>
      <c r="K168" s="16" t="n"/>
      <c r="L168" s="16" t="n"/>
      <c r="M168" s="16" t="n"/>
      <c r="N168" s="10" t="n"/>
      <c r="O168" s="6">
        <f>IF(G168="","",IFERROR(VLOOKUP(G168,MOT,2,FALSE),"código inválido"))</f>
        <v/>
      </c>
      <c r="P168" s="12">
        <f>IF(ISNUMBER(J168),COUNT(J$6:J168),"")</f>
        <v/>
      </c>
    </row>
    <row r="169">
      <c r="A169" s="13" t="n"/>
      <c r="B169" s="10" t="n"/>
      <c r="C169" s="10" t="n"/>
      <c r="D169" s="14" t="n"/>
      <c r="E169" s="14" t="n"/>
      <c r="F169" s="15">
        <f>IF(AND(ISNUMBER(D169),ISNUMBER(E169)),ROUND(IF(E169&lt;D169,E169+1-D169,E169-D169)*1440,2),IF(ISNUMBER(N169),N169,""))</f>
        <v/>
      </c>
      <c r="G169" s="10" t="n"/>
      <c r="H169" s="6">
        <f>IF(G169="","",IFERROR(VLOOKUP(G169,MOT,3,FALSE),"código inválido"))</f>
        <v/>
      </c>
      <c r="I169" s="10" t="n"/>
      <c r="J169" s="16" t="n"/>
      <c r="K169" s="16" t="n"/>
      <c r="L169" s="16" t="n"/>
      <c r="M169" s="16" t="n"/>
      <c r="N169" s="10" t="n"/>
      <c r="O169" s="6">
        <f>IF(G169="","",IFERROR(VLOOKUP(G169,MOT,2,FALSE),"código inválido"))</f>
        <v/>
      </c>
      <c r="P169" s="12">
        <f>IF(ISNUMBER(J169),COUNT(J$6:J169),"")</f>
        <v/>
      </c>
    </row>
    <row r="170">
      <c r="A170" s="13" t="n"/>
      <c r="B170" s="10" t="n"/>
      <c r="C170" s="10" t="n"/>
      <c r="D170" s="14" t="n"/>
      <c r="E170" s="14" t="n"/>
      <c r="F170" s="15">
        <f>IF(AND(ISNUMBER(D170),ISNUMBER(E170)),ROUND(IF(E170&lt;D170,E170+1-D170,E170-D170)*1440,2),IF(ISNUMBER(N170),N170,""))</f>
        <v/>
      </c>
      <c r="G170" s="10" t="n"/>
      <c r="H170" s="6">
        <f>IF(G170="","",IFERROR(VLOOKUP(G170,MOT,3,FALSE),"código inválido"))</f>
        <v/>
      </c>
      <c r="I170" s="10" t="n"/>
      <c r="J170" s="16" t="n"/>
      <c r="K170" s="16" t="n"/>
      <c r="L170" s="16" t="n"/>
      <c r="M170" s="16" t="n"/>
      <c r="N170" s="10" t="n"/>
      <c r="O170" s="6">
        <f>IF(G170="","",IFERROR(VLOOKUP(G170,MOT,2,FALSE),"código inválido"))</f>
        <v/>
      </c>
      <c r="P170" s="12">
        <f>IF(ISNUMBER(J170),COUNT(J$6:J170),"")</f>
        <v/>
      </c>
    </row>
    <row r="171">
      <c r="A171" s="13" t="n"/>
      <c r="B171" s="10" t="n"/>
      <c r="C171" s="10" t="n"/>
      <c r="D171" s="14" t="n"/>
      <c r="E171" s="14" t="n"/>
      <c r="F171" s="15">
        <f>IF(AND(ISNUMBER(D171),ISNUMBER(E171)),ROUND(IF(E171&lt;D171,E171+1-D171,E171-D171)*1440,2),IF(ISNUMBER(N171),N171,""))</f>
        <v/>
      </c>
      <c r="G171" s="10" t="n"/>
      <c r="H171" s="6">
        <f>IF(G171="","",IFERROR(VLOOKUP(G171,MOT,3,FALSE),"código inválido"))</f>
        <v/>
      </c>
      <c r="I171" s="10" t="n"/>
      <c r="J171" s="16" t="n"/>
      <c r="K171" s="16" t="n"/>
      <c r="L171" s="16" t="n"/>
      <c r="M171" s="16" t="n"/>
      <c r="N171" s="10" t="n"/>
      <c r="O171" s="6">
        <f>IF(G171="","",IFERROR(VLOOKUP(G171,MOT,2,FALSE),"código inválido"))</f>
        <v/>
      </c>
      <c r="P171" s="12">
        <f>IF(ISNUMBER(J171),COUNT(J$6:J171),"")</f>
        <v/>
      </c>
    </row>
    <row r="172">
      <c r="A172" s="13" t="n"/>
      <c r="B172" s="10" t="n"/>
      <c r="C172" s="10" t="n"/>
      <c r="D172" s="14" t="n"/>
      <c r="E172" s="14" t="n"/>
      <c r="F172" s="15">
        <f>IF(AND(ISNUMBER(D172),ISNUMBER(E172)),ROUND(IF(E172&lt;D172,E172+1-D172,E172-D172)*1440,2),IF(ISNUMBER(N172),N172,""))</f>
        <v/>
      </c>
      <c r="G172" s="10" t="n"/>
      <c r="H172" s="6">
        <f>IF(G172="","",IFERROR(VLOOKUP(G172,MOT,3,FALSE),"código inválido"))</f>
        <v/>
      </c>
      <c r="I172" s="10" t="n"/>
      <c r="J172" s="16" t="n"/>
      <c r="K172" s="16" t="n"/>
      <c r="L172" s="16" t="n"/>
      <c r="M172" s="16" t="n"/>
      <c r="N172" s="10" t="n"/>
      <c r="O172" s="6">
        <f>IF(G172="","",IFERROR(VLOOKUP(G172,MOT,2,FALSE),"código inválido"))</f>
        <v/>
      </c>
      <c r="P172" s="12">
        <f>IF(ISNUMBER(J172),COUNT(J$6:J172),"")</f>
        <v/>
      </c>
    </row>
    <row r="173">
      <c r="A173" s="13" t="n"/>
      <c r="B173" s="10" t="n"/>
      <c r="C173" s="10" t="n"/>
      <c r="D173" s="14" t="n"/>
      <c r="E173" s="14" t="n"/>
      <c r="F173" s="15">
        <f>IF(AND(ISNUMBER(D173),ISNUMBER(E173)),ROUND(IF(E173&lt;D173,E173+1-D173,E173-D173)*1440,2),IF(ISNUMBER(N173),N173,""))</f>
        <v/>
      </c>
      <c r="G173" s="10" t="n"/>
      <c r="H173" s="6">
        <f>IF(G173="","",IFERROR(VLOOKUP(G173,MOT,3,FALSE),"código inválido"))</f>
        <v/>
      </c>
      <c r="I173" s="10" t="n"/>
      <c r="J173" s="16" t="n"/>
      <c r="K173" s="16" t="n"/>
      <c r="L173" s="16" t="n"/>
      <c r="M173" s="16" t="n"/>
      <c r="N173" s="10" t="n"/>
      <c r="O173" s="6">
        <f>IF(G173="","",IFERROR(VLOOKUP(G173,MOT,2,FALSE),"código inválido"))</f>
        <v/>
      </c>
      <c r="P173" s="12">
        <f>IF(ISNUMBER(J173),COUNT(J$6:J173),"")</f>
        <v/>
      </c>
    </row>
    <row r="174">
      <c r="A174" s="13" t="n"/>
      <c r="B174" s="10" t="n"/>
      <c r="C174" s="10" t="n"/>
      <c r="D174" s="14" t="n"/>
      <c r="E174" s="14" t="n"/>
      <c r="F174" s="15">
        <f>IF(AND(ISNUMBER(D174),ISNUMBER(E174)),ROUND(IF(E174&lt;D174,E174+1-D174,E174-D174)*1440,2),IF(ISNUMBER(N174),N174,""))</f>
        <v/>
      </c>
      <c r="G174" s="10" t="n"/>
      <c r="H174" s="6">
        <f>IF(G174="","",IFERROR(VLOOKUP(G174,MOT,3,FALSE),"código inválido"))</f>
        <v/>
      </c>
      <c r="I174" s="10" t="n"/>
      <c r="J174" s="16" t="n"/>
      <c r="K174" s="16" t="n"/>
      <c r="L174" s="16" t="n"/>
      <c r="M174" s="16" t="n"/>
      <c r="N174" s="10" t="n"/>
      <c r="O174" s="6">
        <f>IF(G174="","",IFERROR(VLOOKUP(G174,MOT,2,FALSE),"código inválido"))</f>
        <v/>
      </c>
      <c r="P174" s="12">
        <f>IF(ISNUMBER(J174),COUNT(J$6:J174),"")</f>
        <v/>
      </c>
    </row>
    <row r="175">
      <c r="A175" s="13" t="n"/>
      <c r="B175" s="10" t="n"/>
      <c r="C175" s="10" t="n"/>
      <c r="D175" s="14" t="n"/>
      <c r="E175" s="14" t="n"/>
      <c r="F175" s="15">
        <f>IF(AND(ISNUMBER(D175),ISNUMBER(E175)),ROUND(IF(E175&lt;D175,E175+1-D175,E175-D175)*1440,2),IF(ISNUMBER(N175),N175,""))</f>
        <v/>
      </c>
      <c r="G175" s="10" t="n"/>
      <c r="H175" s="6">
        <f>IF(G175="","",IFERROR(VLOOKUP(G175,MOT,3,FALSE),"código inválido"))</f>
        <v/>
      </c>
      <c r="I175" s="10" t="n"/>
      <c r="J175" s="16" t="n"/>
      <c r="K175" s="16" t="n"/>
      <c r="L175" s="16" t="n"/>
      <c r="M175" s="16" t="n"/>
      <c r="N175" s="10" t="n"/>
      <c r="O175" s="6">
        <f>IF(G175="","",IFERROR(VLOOKUP(G175,MOT,2,FALSE),"código inválido"))</f>
        <v/>
      </c>
      <c r="P175" s="12">
        <f>IF(ISNUMBER(J175),COUNT(J$6:J175),"")</f>
        <v/>
      </c>
    </row>
    <row r="176">
      <c r="A176" s="13" t="n"/>
      <c r="B176" s="10" t="n"/>
      <c r="C176" s="10" t="n"/>
      <c r="D176" s="14" t="n"/>
      <c r="E176" s="14" t="n"/>
      <c r="F176" s="15">
        <f>IF(AND(ISNUMBER(D176),ISNUMBER(E176)),ROUND(IF(E176&lt;D176,E176+1-D176,E176-D176)*1440,2),IF(ISNUMBER(N176),N176,""))</f>
        <v/>
      </c>
      <c r="G176" s="10" t="n"/>
      <c r="H176" s="6">
        <f>IF(G176="","",IFERROR(VLOOKUP(G176,MOT,3,FALSE),"código inválido"))</f>
        <v/>
      </c>
      <c r="I176" s="10" t="n"/>
      <c r="J176" s="16" t="n"/>
      <c r="K176" s="16" t="n"/>
      <c r="L176" s="16" t="n"/>
      <c r="M176" s="16" t="n"/>
      <c r="N176" s="10" t="n"/>
      <c r="O176" s="6">
        <f>IF(G176="","",IFERROR(VLOOKUP(G176,MOT,2,FALSE),"código inválido"))</f>
        <v/>
      </c>
      <c r="P176" s="12">
        <f>IF(ISNUMBER(J176),COUNT(J$6:J176),"")</f>
        <v/>
      </c>
    </row>
    <row r="177">
      <c r="A177" s="13" t="n"/>
      <c r="B177" s="10" t="n"/>
      <c r="C177" s="10" t="n"/>
      <c r="D177" s="14" t="n"/>
      <c r="E177" s="14" t="n"/>
      <c r="F177" s="15">
        <f>IF(AND(ISNUMBER(D177),ISNUMBER(E177)),ROUND(IF(E177&lt;D177,E177+1-D177,E177-D177)*1440,2),IF(ISNUMBER(N177),N177,""))</f>
        <v/>
      </c>
      <c r="G177" s="10" t="n"/>
      <c r="H177" s="6">
        <f>IF(G177="","",IFERROR(VLOOKUP(G177,MOT,3,FALSE),"código inválido"))</f>
        <v/>
      </c>
      <c r="I177" s="10" t="n"/>
      <c r="J177" s="16" t="n"/>
      <c r="K177" s="16" t="n"/>
      <c r="L177" s="16" t="n"/>
      <c r="M177" s="16" t="n"/>
      <c r="N177" s="10" t="n"/>
      <c r="O177" s="6">
        <f>IF(G177="","",IFERROR(VLOOKUP(G177,MOT,2,FALSE),"código inválido"))</f>
        <v/>
      </c>
      <c r="P177" s="12">
        <f>IF(ISNUMBER(J177),COUNT(J$6:J177),"")</f>
        <v/>
      </c>
    </row>
    <row r="178">
      <c r="A178" s="13" t="n"/>
      <c r="B178" s="10" t="n"/>
      <c r="C178" s="10" t="n"/>
      <c r="D178" s="14" t="n"/>
      <c r="E178" s="14" t="n"/>
      <c r="F178" s="15">
        <f>IF(AND(ISNUMBER(D178),ISNUMBER(E178)),ROUND(IF(E178&lt;D178,E178+1-D178,E178-D178)*1440,2),IF(ISNUMBER(N178),N178,""))</f>
        <v/>
      </c>
      <c r="G178" s="10" t="n"/>
      <c r="H178" s="6">
        <f>IF(G178="","",IFERROR(VLOOKUP(G178,MOT,3,FALSE),"código inválido"))</f>
        <v/>
      </c>
      <c r="I178" s="10" t="n"/>
      <c r="J178" s="16" t="n"/>
      <c r="K178" s="16" t="n"/>
      <c r="L178" s="16" t="n"/>
      <c r="M178" s="16" t="n"/>
      <c r="N178" s="10" t="n"/>
      <c r="O178" s="6">
        <f>IF(G178="","",IFERROR(VLOOKUP(G178,MOT,2,FALSE),"código inválido"))</f>
        <v/>
      </c>
      <c r="P178" s="12">
        <f>IF(ISNUMBER(J178),COUNT(J$6:J178),"")</f>
        <v/>
      </c>
    </row>
    <row r="179">
      <c r="A179" s="13" t="n"/>
      <c r="B179" s="10" t="n"/>
      <c r="C179" s="10" t="n"/>
      <c r="D179" s="14" t="n"/>
      <c r="E179" s="14" t="n"/>
      <c r="F179" s="15">
        <f>IF(AND(ISNUMBER(D179),ISNUMBER(E179)),ROUND(IF(E179&lt;D179,E179+1-D179,E179-D179)*1440,2),IF(ISNUMBER(N179),N179,""))</f>
        <v/>
      </c>
      <c r="G179" s="10" t="n"/>
      <c r="H179" s="6">
        <f>IF(G179="","",IFERROR(VLOOKUP(G179,MOT,3,FALSE),"código inválido"))</f>
        <v/>
      </c>
      <c r="I179" s="10" t="n"/>
      <c r="J179" s="16" t="n"/>
      <c r="K179" s="16" t="n"/>
      <c r="L179" s="16" t="n"/>
      <c r="M179" s="16" t="n"/>
      <c r="N179" s="10" t="n"/>
      <c r="O179" s="6">
        <f>IF(G179="","",IFERROR(VLOOKUP(G179,MOT,2,FALSE),"código inválido"))</f>
        <v/>
      </c>
      <c r="P179" s="12">
        <f>IF(ISNUMBER(J179),COUNT(J$6:J179),"")</f>
        <v/>
      </c>
    </row>
    <row r="180">
      <c r="A180" s="13" t="n"/>
      <c r="B180" s="10" t="n"/>
      <c r="C180" s="10" t="n"/>
      <c r="D180" s="14" t="n"/>
      <c r="E180" s="14" t="n"/>
      <c r="F180" s="15">
        <f>IF(AND(ISNUMBER(D180),ISNUMBER(E180)),ROUND(IF(E180&lt;D180,E180+1-D180,E180-D180)*1440,2),IF(ISNUMBER(N180),N180,""))</f>
        <v/>
      </c>
      <c r="G180" s="10" t="n"/>
      <c r="H180" s="6">
        <f>IF(G180="","",IFERROR(VLOOKUP(G180,MOT,3,FALSE),"código inválido"))</f>
        <v/>
      </c>
      <c r="I180" s="10" t="n"/>
      <c r="J180" s="16" t="n"/>
      <c r="K180" s="16" t="n"/>
      <c r="L180" s="16" t="n"/>
      <c r="M180" s="16" t="n"/>
      <c r="N180" s="10" t="n"/>
      <c r="O180" s="6">
        <f>IF(G180="","",IFERROR(VLOOKUP(G180,MOT,2,FALSE),"código inválido"))</f>
        <v/>
      </c>
      <c r="P180" s="12">
        <f>IF(ISNUMBER(J180),COUNT(J$6:J180),"")</f>
        <v/>
      </c>
    </row>
    <row r="181">
      <c r="A181" s="13" t="n"/>
      <c r="B181" s="10" t="n"/>
      <c r="C181" s="10" t="n"/>
      <c r="D181" s="14" t="n"/>
      <c r="E181" s="14" t="n"/>
      <c r="F181" s="15">
        <f>IF(AND(ISNUMBER(D181),ISNUMBER(E181)),ROUND(IF(E181&lt;D181,E181+1-D181,E181-D181)*1440,2),IF(ISNUMBER(N181),N181,""))</f>
        <v/>
      </c>
      <c r="G181" s="10" t="n"/>
      <c r="H181" s="6">
        <f>IF(G181="","",IFERROR(VLOOKUP(G181,MOT,3,FALSE),"código inválido"))</f>
        <v/>
      </c>
      <c r="I181" s="10" t="n"/>
      <c r="J181" s="16" t="n"/>
      <c r="K181" s="16" t="n"/>
      <c r="L181" s="16" t="n"/>
      <c r="M181" s="16" t="n"/>
      <c r="N181" s="10" t="n"/>
      <c r="O181" s="6">
        <f>IF(G181="","",IFERROR(VLOOKUP(G181,MOT,2,FALSE),"código inválido"))</f>
        <v/>
      </c>
      <c r="P181" s="12">
        <f>IF(ISNUMBER(J181),COUNT(J$6:J181),"")</f>
        <v/>
      </c>
    </row>
    <row r="182">
      <c r="A182" s="13" t="n"/>
      <c r="B182" s="10" t="n"/>
      <c r="C182" s="10" t="n"/>
      <c r="D182" s="14" t="n"/>
      <c r="E182" s="14" t="n"/>
      <c r="F182" s="15">
        <f>IF(AND(ISNUMBER(D182),ISNUMBER(E182)),ROUND(IF(E182&lt;D182,E182+1-D182,E182-D182)*1440,2),IF(ISNUMBER(N182),N182,""))</f>
        <v/>
      </c>
      <c r="G182" s="10" t="n"/>
      <c r="H182" s="6">
        <f>IF(G182="","",IFERROR(VLOOKUP(G182,MOT,3,FALSE),"código inválido"))</f>
        <v/>
      </c>
      <c r="I182" s="10" t="n"/>
      <c r="J182" s="16" t="n"/>
      <c r="K182" s="16" t="n"/>
      <c r="L182" s="16" t="n"/>
      <c r="M182" s="16" t="n"/>
      <c r="N182" s="10" t="n"/>
      <c r="O182" s="6">
        <f>IF(G182="","",IFERROR(VLOOKUP(G182,MOT,2,FALSE),"código inválido"))</f>
        <v/>
      </c>
      <c r="P182" s="12">
        <f>IF(ISNUMBER(J182),COUNT(J$6:J182),"")</f>
        <v/>
      </c>
    </row>
    <row r="183">
      <c r="A183" s="13" t="n"/>
      <c r="B183" s="10" t="n"/>
      <c r="C183" s="10" t="n"/>
      <c r="D183" s="14" t="n"/>
      <c r="E183" s="14" t="n"/>
      <c r="F183" s="15">
        <f>IF(AND(ISNUMBER(D183),ISNUMBER(E183)),ROUND(IF(E183&lt;D183,E183+1-D183,E183-D183)*1440,2),IF(ISNUMBER(N183),N183,""))</f>
        <v/>
      </c>
      <c r="G183" s="10" t="n"/>
      <c r="H183" s="6">
        <f>IF(G183="","",IFERROR(VLOOKUP(G183,MOT,3,FALSE),"código inválido"))</f>
        <v/>
      </c>
      <c r="I183" s="10" t="n"/>
      <c r="J183" s="16" t="n"/>
      <c r="K183" s="16" t="n"/>
      <c r="L183" s="16" t="n"/>
      <c r="M183" s="16" t="n"/>
      <c r="N183" s="10" t="n"/>
      <c r="O183" s="6">
        <f>IF(G183="","",IFERROR(VLOOKUP(G183,MOT,2,FALSE),"código inválido"))</f>
        <v/>
      </c>
      <c r="P183" s="12">
        <f>IF(ISNUMBER(J183),COUNT(J$6:J183),"")</f>
        <v/>
      </c>
    </row>
    <row r="184">
      <c r="A184" s="13" t="n"/>
      <c r="B184" s="10" t="n"/>
      <c r="C184" s="10" t="n"/>
      <c r="D184" s="14" t="n"/>
      <c r="E184" s="14" t="n"/>
      <c r="F184" s="15">
        <f>IF(AND(ISNUMBER(D184),ISNUMBER(E184)),ROUND(IF(E184&lt;D184,E184+1-D184,E184-D184)*1440,2),IF(ISNUMBER(N184),N184,""))</f>
        <v/>
      </c>
      <c r="G184" s="10" t="n"/>
      <c r="H184" s="6">
        <f>IF(G184="","",IFERROR(VLOOKUP(G184,MOT,3,FALSE),"código inválido"))</f>
        <v/>
      </c>
      <c r="I184" s="10" t="n"/>
      <c r="J184" s="16" t="n"/>
      <c r="K184" s="16" t="n"/>
      <c r="L184" s="16" t="n"/>
      <c r="M184" s="16" t="n"/>
      <c r="N184" s="10" t="n"/>
      <c r="O184" s="6">
        <f>IF(G184="","",IFERROR(VLOOKUP(G184,MOT,2,FALSE),"código inválido"))</f>
        <v/>
      </c>
      <c r="P184" s="12">
        <f>IF(ISNUMBER(J184),COUNT(J$6:J184),"")</f>
        <v/>
      </c>
    </row>
    <row r="185">
      <c r="A185" s="13" t="n"/>
      <c r="B185" s="10" t="n"/>
      <c r="C185" s="10" t="n"/>
      <c r="D185" s="14" t="n"/>
      <c r="E185" s="14" t="n"/>
      <c r="F185" s="15">
        <f>IF(AND(ISNUMBER(D185),ISNUMBER(E185)),ROUND(IF(E185&lt;D185,E185+1-D185,E185-D185)*1440,2),IF(ISNUMBER(N185),N185,""))</f>
        <v/>
      </c>
      <c r="G185" s="10" t="n"/>
      <c r="H185" s="6">
        <f>IF(G185="","",IFERROR(VLOOKUP(G185,MOT,3,FALSE),"código inválido"))</f>
        <v/>
      </c>
      <c r="I185" s="10" t="n"/>
      <c r="J185" s="16" t="n"/>
      <c r="K185" s="16" t="n"/>
      <c r="L185" s="16" t="n"/>
      <c r="M185" s="16" t="n"/>
      <c r="N185" s="10" t="n"/>
      <c r="O185" s="6">
        <f>IF(G185="","",IFERROR(VLOOKUP(G185,MOT,2,FALSE),"código inválido"))</f>
        <v/>
      </c>
      <c r="P185" s="12">
        <f>IF(ISNUMBER(J185),COUNT(J$6:J185),"")</f>
        <v/>
      </c>
    </row>
    <row r="186">
      <c r="A186" s="13" t="n"/>
      <c r="B186" s="10" t="n"/>
      <c r="C186" s="10" t="n"/>
      <c r="D186" s="14" t="n"/>
      <c r="E186" s="14" t="n"/>
      <c r="F186" s="15">
        <f>IF(AND(ISNUMBER(D186),ISNUMBER(E186)),ROUND(IF(E186&lt;D186,E186+1-D186,E186-D186)*1440,2),IF(ISNUMBER(N186),N186,""))</f>
        <v/>
      </c>
      <c r="G186" s="10" t="n"/>
      <c r="H186" s="6">
        <f>IF(G186="","",IFERROR(VLOOKUP(G186,MOT,3,FALSE),"código inválido"))</f>
        <v/>
      </c>
      <c r="I186" s="10" t="n"/>
      <c r="J186" s="16" t="n"/>
      <c r="K186" s="16" t="n"/>
      <c r="L186" s="16" t="n"/>
      <c r="M186" s="16" t="n"/>
      <c r="N186" s="10" t="n"/>
      <c r="O186" s="6">
        <f>IF(G186="","",IFERROR(VLOOKUP(G186,MOT,2,FALSE),"código inválido"))</f>
        <v/>
      </c>
      <c r="P186" s="12">
        <f>IF(ISNUMBER(J186),COUNT(J$6:J186),"")</f>
        <v/>
      </c>
    </row>
    <row r="187">
      <c r="A187" s="13" t="n"/>
      <c r="B187" s="10" t="n"/>
      <c r="C187" s="10" t="n"/>
      <c r="D187" s="14" t="n"/>
      <c r="E187" s="14" t="n"/>
      <c r="F187" s="15">
        <f>IF(AND(ISNUMBER(D187),ISNUMBER(E187)),ROUND(IF(E187&lt;D187,E187+1-D187,E187-D187)*1440,2),IF(ISNUMBER(N187),N187,""))</f>
        <v/>
      </c>
      <c r="G187" s="10" t="n"/>
      <c r="H187" s="6">
        <f>IF(G187="","",IFERROR(VLOOKUP(G187,MOT,3,FALSE),"código inválido"))</f>
        <v/>
      </c>
      <c r="I187" s="10" t="n"/>
      <c r="J187" s="16" t="n"/>
      <c r="K187" s="16" t="n"/>
      <c r="L187" s="16" t="n"/>
      <c r="M187" s="16" t="n"/>
      <c r="N187" s="10" t="n"/>
      <c r="O187" s="6">
        <f>IF(G187="","",IFERROR(VLOOKUP(G187,MOT,2,FALSE),"código inválido"))</f>
        <v/>
      </c>
      <c r="P187" s="12">
        <f>IF(ISNUMBER(J187),COUNT(J$6:J187),"")</f>
        <v/>
      </c>
    </row>
    <row r="188">
      <c r="A188" s="13" t="n"/>
      <c r="B188" s="10" t="n"/>
      <c r="C188" s="10" t="n"/>
      <c r="D188" s="14" t="n"/>
      <c r="E188" s="14" t="n"/>
      <c r="F188" s="15">
        <f>IF(AND(ISNUMBER(D188),ISNUMBER(E188)),ROUND(IF(E188&lt;D188,E188+1-D188,E188-D188)*1440,2),IF(ISNUMBER(N188),N188,""))</f>
        <v/>
      </c>
      <c r="G188" s="10" t="n"/>
      <c r="H188" s="6">
        <f>IF(G188="","",IFERROR(VLOOKUP(G188,MOT,3,FALSE),"código inválido"))</f>
        <v/>
      </c>
      <c r="I188" s="10" t="n"/>
      <c r="J188" s="16" t="n"/>
      <c r="K188" s="16" t="n"/>
      <c r="L188" s="16" t="n"/>
      <c r="M188" s="16" t="n"/>
      <c r="N188" s="10" t="n"/>
      <c r="O188" s="6">
        <f>IF(G188="","",IFERROR(VLOOKUP(G188,MOT,2,FALSE),"código inválido"))</f>
        <v/>
      </c>
      <c r="P188" s="12">
        <f>IF(ISNUMBER(J188),COUNT(J$6:J188),"")</f>
        <v/>
      </c>
    </row>
    <row r="189">
      <c r="A189" s="13" t="n"/>
      <c r="B189" s="10" t="n"/>
      <c r="C189" s="10" t="n"/>
      <c r="D189" s="14" t="n"/>
      <c r="E189" s="14" t="n"/>
      <c r="F189" s="15">
        <f>IF(AND(ISNUMBER(D189),ISNUMBER(E189)),ROUND(IF(E189&lt;D189,E189+1-D189,E189-D189)*1440,2),IF(ISNUMBER(N189),N189,""))</f>
        <v/>
      </c>
      <c r="G189" s="10" t="n"/>
      <c r="H189" s="6">
        <f>IF(G189="","",IFERROR(VLOOKUP(G189,MOT,3,FALSE),"código inválido"))</f>
        <v/>
      </c>
      <c r="I189" s="10" t="n"/>
      <c r="J189" s="16" t="n"/>
      <c r="K189" s="16" t="n"/>
      <c r="L189" s="16" t="n"/>
      <c r="M189" s="16" t="n"/>
      <c r="N189" s="10" t="n"/>
      <c r="O189" s="6">
        <f>IF(G189="","",IFERROR(VLOOKUP(G189,MOT,2,FALSE),"código inválido"))</f>
        <v/>
      </c>
      <c r="P189" s="12">
        <f>IF(ISNUMBER(J189),COUNT(J$6:J189),"")</f>
        <v/>
      </c>
    </row>
    <row r="190">
      <c r="A190" s="13" t="n"/>
      <c r="B190" s="10" t="n"/>
      <c r="C190" s="10" t="n"/>
      <c r="D190" s="14" t="n"/>
      <c r="E190" s="14" t="n"/>
      <c r="F190" s="15">
        <f>IF(AND(ISNUMBER(D190),ISNUMBER(E190)),ROUND(IF(E190&lt;D190,E190+1-D190,E190-D190)*1440,2),IF(ISNUMBER(N190),N190,""))</f>
        <v/>
      </c>
      <c r="G190" s="10" t="n"/>
      <c r="H190" s="6">
        <f>IF(G190="","",IFERROR(VLOOKUP(G190,MOT,3,FALSE),"código inválido"))</f>
        <v/>
      </c>
      <c r="I190" s="10" t="n"/>
      <c r="J190" s="16" t="n"/>
      <c r="K190" s="16" t="n"/>
      <c r="L190" s="16" t="n"/>
      <c r="M190" s="16" t="n"/>
      <c r="N190" s="10" t="n"/>
      <c r="O190" s="6">
        <f>IF(G190="","",IFERROR(VLOOKUP(G190,MOT,2,FALSE),"código inválido"))</f>
        <v/>
      </c>
      <c r="P190" s="12">
        <f>IF(ISNUMBER(J190),COUNT(J$6:J190),"")</f>
        <v/>
      </c>
    </row>
    <row r="191">
      <c r="A191" s="13" t="n"/>
      <c r="B191" s="10" t="n"/>
      <c r="C191" s="10" t="n"/>
      <c r="D191" s="14" t="n"/>
      <c r="E191" s="14" t="n"/>
      <c r="F191" s="15">
        <f>IF(AND(ISNUMBER(D191),ISNUMBER(E191)),ROUND(IF(E191&lt;D191,E191+1-D191,E191-D191)*1440,2),IF(ISNUMBER(N191),N191,""))</f>
        <v/>
      </c>
      <c r="G191" s="10" t="n"/>
      <c r="H191" s="6">
        <f>IF(G191="","",IFERROR(VLOOKUP(G191,MOT,3,FALSE),"código inválido"))</f>
        <v/>
      </c>
      <c r="I191" s="10" t="n"/>
      <c r="J191" s="16" t="n"/>
      <c r="K191" s="16" t="n"/>
      <c r="L191" s="16" t="n"/>
      <c r="M191" s="16" t="n"/>
      <c r="N191" s="10" t="n"/>
      <c r="O191" s="6">
        <f>IF(G191="","",IFERROR(VLOOKUP(G191,MOT,2,FALSE),"código inválido"))</f>
        <v/>
      </c>
      <c r="P191" s="12">
        <f>IF(ISNUMBER(J191),COUNT(J$6:J191),"")</f>
        <v/>
      </c>
    </row>
    <row r="192">
      <c r="A192" s="13" t="n"/>
      <c r="B192" s="10" t="n"/>
      <c r="C192" s="10" t="n"/>
      <c r="D192" s="14" t="n"/>
      <c r="E192" s="14" t="n"/>
      <c r="F192" s="15">
        <f>IF(AND(ISNUMBER(D192),ISNUMBER(E192)),ROUND(IF(E192&lt;D192,E192+1-D192,E192-D192)*1440,2),IF(ISNUMBER(N192),N192,""))</f>
        <v/>
      </c>
      <c r="G192" s="10" t="n"/>
      <c r="H192" s="6">
        <f>IF(G192="","",IFERROR(VLOOKUP(G192,MOT,3,FALSE),"código inválido"))</f>
        <v/>
      </c>
      <c r="I192" s="10" t="n"/>
      <c r="J192" s="16" t="n"/>
      <c r="K192" s="16" t="n"/>
      <c r="L192" s="16" t="n"/>
      <c r="M192" s="16" t="n"/>
      <c r="N192" s="10" t="n"/>
      <c r="O192" s="6">
        <f>IF(G192="","",IFERROR(VLOOKUP(G192,MOT,2,FALSE),"código inválido"))</f>
        <v/>
      </c>
      <c r="P192" s="12">
        <f>IF(ISNUMBER(J192),COUNT(J$6:J192),"")</f>
        <v/>
      </c>
    </row>
    <row r="193">
      <c r="A193" s="13" t="n"/>
      <c r="B193" s="10" t="n"/>
      <c r="C193" s="10" t="n"/>
      <c r="D193" s="14" t="n"/>
      <c r="E193" s="14" t="n"/>
      <c r="F193" s="15">
        <f>IF(AND(ISNUMBER(D193),ISNUMBER(E193)),ROUND(IF(E193&lt;D193,E193+1-D193,E193-D193)*1440,2),IF(ISNUMBER(N193),N193,""))</f>
        <v/>
      </c>
      <c r="G193" s="10" t="n"/>
      <c r="H193" s="6">
        <f>IF(G193="","",IFERROR(VLOOKUP(G193,MOT,3,FALSE),"código inválido"))</f>
        <v/>
      </c>
      <c r="I193" s="10" t="n"/>
      <c r="J193" s="16" t="n"/>
      <c r="K193" s="16" t="n"/>
      <c r="L193" s="16" t="n"/>
      <c r="M193" s="16" t="n"/>
      <c r="N193" s="10" t="n"/>
      <c r="O193" s="6">
        <f>IF(G193="","",IFERROR(VLOOKUP(G193,MOT,2,FALSE),"código inválido"))</f>
        <v/>
      </c>
      <c r="P193" s="12">
        <f>IF(ISNUMBER(J193),COUNT(J$6:J193),"")</f>
        <v/>
      </c>
    </row>
    <row r="194">
      <c r="A194" s="13" t="n"/>
      <c r="B194" s="10" t="n"/>
      <c r="C194" s="10" t="n"/>
      <c r="D194" s="14" t="n"/>
      <c r="E194" s="14" t="n"/>
      <c r="F194" s="15">
        <f>IF(AND(ISNUMBER(D194),ISNUMBER(E194)),ROUND(IF(E194&lt;D194,E194+1-D194,E194-D194)*1440,2),IF(ISNUMBER(N194),N194,""))</f>
        <v/>
      </c>
      <c r="G194" s="10" t="n"/>
      <c r="H194" s="6">
        <f>IF(G194="","",IFERROR(VLOOKUP(G194,MOT,3,FALSE),"código inválido"))</f>
        <v/>
      </c>
      <c r="I194" s="10" t="n"/>
      <c r="J194" s="16" t="n"/>
      <c r="K194" s="16" t="n"/>
      <c r="L194" s="16" t="n"/>
      <c r="M194" s="16" t="n"/>
      <c r="N194" s="10" t="n"/>
      <c r="O194" s="6">
        <f>IF(G194="","",IFERROR(VLOOKUP(G194,MOT,2,FALSE),"código inválido"))</f>
        <v/>
      </c>
      <c r="P194" s="12">
        <f>IF(ISNUMBER(J194),COUNT(J$6:J194),"")</f>
        <v/>
      </c>
    </row>
    <row r="195">
      <c r="A195" s="13" t="n"/>
      <c r="B195" s="10" t="n"/>
      <c r="C195" s="10" t="n"/>
      <c r="D195" s="14" t="n"/>
      <c r="E195" s="14" t="n"/>
      <c r="F195" s="15">
        <f>IF(AND(ISNUMBER(D195),ISNUMBER(E195)),ROUND(IF(E195&lt;D195,E195+1-D195,E195-D195)*1440,2),IF(ISNUMBER(N195),N195,""))</f>
        <v/>
      </c>
      <c r="G195" s="10" t="n"/>
      <c r="H195" s="6">
        <f>IF(G195="","",IFERROR(VLOOKUP(G195,MOT,3,FALSE),"código inválido"))</f>
        <v/>
      </c>
      <c r="I195" s="10" t="n"/>
      <c r="J195" s="16" t="n"/>
      <c r="K195" s="16" t="n"/>
      <c r="L195" s="16" t="n"/>
      <c r="M195" s="16" t="n"/>
      <c r="N195" s="10" t="n"/>
      <c r="O195" s="6">
        <f>IF(G195="","",IFERROR(VLOOKUP(G195,MOT,2,FALSE),"código inválido"))</f>
        <v/>
      </c>
      <c r="P195" s="12">
        <f>IF(ISNUMBER(J195),COUNT(J$6:J195),"")</f>
        <v/>
      </c>
    </row>
    <row r="196">
      <c r="A196" s="13" t="n"/>
      <c r="B196" s="10" t="n"/>
      <c r="C196" s="10" t="n"/>
      <c r="D196" s="14" t="n"/>
      <c r="E196" s="14" t="n"/>
      <c r="F196" s="15">
        <f>IF(AND(ISNUMBER(D196),ISNUMBER(E196)),ROUND(IF(E196&lt;D196,E196+1-D196,E196-D196)*1440,2),IF(ISNUMBER(N196),N196,""))</f>
        <v/>
      </c>
      <c r="G196" s="10" t="n"/>
      <c r="H196" s="6">
        <f>IF(G196="","",IFERROR(VLOOKUP(G196,MOT,3,FALSE),"código inválido"))</f>
        <v/>
      </c>
      <c r="I196" s="10" t="n"/>
      <c r="J196" s="16" t="n"/>
      <c r="K196" s="16" t="n"/>
      <c r="L196" s="16" t="n"/>
      <c r="M196" s="16" t="n"/>
      <c r="N196" s="10" t="n"/>
      <c r="O196" s="6">
        <f>IF(G196="","",IFERROR(VLOOKUP(G196,MOT,2,FALSE),"código inválido"))</f>
        <v/>
      </c>
      <c r="P196" s="12">
        <f>IF(ISNUMBER(J196),COUNT(J$6:J196),"")</f>
        <v/>
      </c>
    </row>
    <row r="197">
      <c r="A197" s="13" t="n"/>
      <c r="B197" s="10" t="n"/>
      <c r="C197" s="10" t="n"/>
      <c r="D197" s="14" t="n"/>
      <c r="E197" s="14" t="n"/>
      <c r="F197" s="15">
        <f>IF(AND(ISNUMBER(D197),ISNUMBER(E197)),ROUND(IF(E197&lt;D197,E197+1-D197,E197-D197)*1440,2),IF(ISNUMBER(N197),N197,""))</f>
        <v/>
      </c>
      <c r="G197" s="10" t="n"/>
      <c r="H197" s="6">
        <f>IF(G197="","",IFERROR(VLOOKUP(G197,MOT,3,FALSE),"código inválido"))</f>
        <v/>
      </c>
      <c r="I197" s="10" t="n"/>
      <c r="J197" s="16" t="n"/>
      <c r="K197" s="16" t="n"/>
      <c r="L197" s="16" t="n"/>
      <c r="M197" s="16" t="n"/>
      <c r="N197" s="10" t="n"/>
      <c r="O197" s="6">
        <f>IF(G197="","",IFERROR(VLOOKUP(G197,MOT,2,FALSE),"código inválido"))</f>
        <v/>
      </c>
      <c r="P197" s="12">
        <f>IF(ISNUMBER(J197),COUNT(J$6:J197),"")</f>
        <v/>
      </c>
    </row>
    <row r="198">
      <c r="A198" s="13" t="n"/>
      <c r="B198" s="10" t="n"/>
      <c r="C198" s="10" t="n"/>
      <c r="D198" s="14" t="n"/>
      <c r="E198" s="14" t="n"/>
      <c r="F198" s="15">
        <f>IF(AND(ISNUMBER(D198),ISNUMBER(E198)),ROUND(IF(E198&lt;D198,E198+1-D198,E198-D198)*1440,2),IF(ISNUMBER(N198),N198,""))</f>
        <v/>
      </c>
      <c r="G198" s="10" t="n"/>
      <c r="H198" s="6">
        <f>IF(G198="","",IFERROR(VLOOKUP(G198,MOT,3,FALSE),"código inválido"))</f>
        <v/>
      </c>
      <c r="I198" s="10" t="n"/>
      <c r="J198" s="16" t="n"/>
      <c r="K198" s="16" t="n"/>
      <c r="L198" s="16" t="n"/>
      <c r="M198" s="16" t="n"/>
      <c r="N198" s="10" t="n"/>
      <c r="O198" s="6">
        <f>IF(G198="","",IFERROR(VLOOKUP(G198,MOT,2,FALSE),"código inválido"))</f>
        <v/>
      </c>
      <c r="P198" s="12">
        <f>IF(ISNUMBER(J198),COUNT(J$6:J198),"")</f>
        <v/>
      </c>
    </row>
    <row r="199">
      <c r="A199" s="13" t="n"/>
      <c r="B199" s="10" t="n"/>
      <c r="C199" s="10" t="n"/>
      <c r="D199" s="14" t="n"/>
      <c r="E199" s="14" t="n"/>
      <c r="F199" s="15">
        <f>IF(AND(ISNUMBER(D199),ISNUMBER(E199)),ROUND(IF(E199&lt;D199,E199+1-D199,E199-D199)*1440,2),IF(ISNUMBER(N199),N199,""))</f>
        <v/>
      </c>
      <c r="G199" s="10" t="n"/>
      <c r="H199" s="6">
        <f>IF(G199="","",IFERROR(VLOOKUP(G199,MOT,3,FALSE),"código inválido"))</f>
        <v/>
      </c>
      <c r="I199" s="10" t="n"/>
      <c r="J199" s="16" t="n"/>
      <c r="K199" s="16" t="n"/>
      <c r="L199" s="16" t="n"/>
      <c r="M199" s="16" t="n"/>
      <c r="N199" s="10" t="n"/>
      <c r="O199" s="6">
        <f>IF(G199="","",IFERROR(VLOOKUP(G199,MOT,2,FALSE),"código inválido"))</f>
        <v/>
      </c>
      <c r="P199" s="12">
        <f>IF(ISNUMBER(J199),COUNT(J$6:J199),"")</f>
        <v/>
      </c>
    </row>
    <row r="200">
      <c r="A200" s="13" t="n"/>
      <c r="B200" s="10" t="n"/>
      <c r="C200" s="10" t="n"/>
      <c r="D200" s="14" t="n"/>
      <c r="E200" s="14" t="n"/>
      <c r="F200" s="15">
        <f>IF(AND(ISNUMBER(D200),ISNUMBER(E200)),ROUND(IF(E200&lt;D200,E200+1-D200,E200-D200)*1440,2),IF(ISNUMBER(N200),N200,""))</f>
        <v/>
      </c>
      <c r="G200" s="10" t="n"/>
      <c r="H200" s="6">
        <f>IF(G200="","",IFERROR(VLOOKUP(G200,MOT,3,FALSE),"código inválido"))</f>
        <v/>
      </c>
      <c r="I200" s="10" t="n"/>
      <c r="J200" s="16" t="n"/>
      <c r="K200" s="16" t="n"/>
      <c r="L200" s="16" t="n"/>
      <c r="M200" s="16" t="n"/>
      <c r="N200" s="10" t="n"/>
      <c r="O200" s="6">
        <f>IF(G200="","",IFERROR(VLOOKUP(G200,MOT,2,FALSE),"código inválido"))</f>
        <v/>
      </c>
      <c r="P200" s="12">
        <f>IF(ISNUMBER(J200),COUNT(J$6:J200),"")</f>
        <v/>
      </c>
    </row>
    <row r="201">
      <c r="A201" s="13" t="n"/>
      <c r="B201" s="10" t="n"/>
      <c r="C201" s="10" t="n"/>
      <c r="D201" s="14" t="n"/>
      <c r="E201" s="14" t="n"/>
      <c r="F201" s="15">
        <f>IF(AND(ISNUMBER(D201),ISNUMBER(E201)),ROUND(IF(E201&lt;D201,E201+1-D201,E201-D201)*1440,2),IF(ISNUMBER(N201),N201,""))</f>
        <v/>
      </c>
      <c r="G201" s="10" t="n"/>
      <c r="H201" s="6">
        <f>IF(G201="","",IFERROR(VLOOKUP(G201,MOT,3,FALSE),"código inválido"))</f>
        <v/>
      </c>
      <c r="I201" s="10" t="n"/>
      <c r="J201" s="16" t="n"/>
      <c r="K201" s="16" t="n"/>
      <c r="L201" s="16" t="n"/>
      <c r="M201" s="16" t="n"/>
      <c r="N201" s="10" t="n"/>
      <c r="O201" s="6">
        <f>IF(G201="","",IFERROR(VLOOKUP(G201,MOT,2,FALSE),"código inválido"))</f>
        <v/>
      </c>
      <c r="P201" s="12">
        <f>IF(ISNUMBER(J201),COUNT(J$6:J201),"")</f>
        <v/>
      </c>
    </row>
    <row r="202">
      <c r="A202" s="13" t="n"/>
      <c r="B202" s="10" t="n"/>
      <c r="C202" s="10" t="n"/>
      <c r="D202" s="14" t="n"/>
      <c r="E202" s="14" t="n"/>
      <c r="F202" s="15">
        <f>IF(AND(ISNUMBER(D202),ISNUMBER(E202)),ROUND(IF(E202&lt;D202,E202+1-D202,E202-D202)*1440,2),IF(ISNUMBER(N202),N202,""))</f>
        <v/>
      </c>
      <c r="G202" s="10" t="n"/>
      <c r="H202" s="6">
        <f>IF(G202="","",IFERROR(VLOOKUP(G202,MOT,3,FALSE),"código inválido"))</f>
        <v/>
      </c>
      <c r="I202" s="10" t="n"/>
      <c r="J202" s="16" t="n"/>
      <c r="K202" s="16" t="n"/>
      <c r="L202" s="16" t="n"/>
      <c r="M202" s="16" t="n"/>
      <c r="N202" s="10" t="n"/>
      <c r="O202" s="6">
        <f>IF(G202="","",IFERROR(VLOOKUP(G202,MOT,2,FALSE),"código inválido"))</f>
        <v/>
      </c>
      <c r="P202" s="12">
        <f>IF(ISNUMBER(J202),COUNT(J$6:J202),"")</f>
        <v/>
      </c>
    </row>
    <row r="203">
      <c r="A203" s="13" t="n"/>
      <c r="B203" s="10" t="n"/>
      <c r="C203" s="10" t="n"/>
      <c r="D203" s="14" t="n"/>
      <c r="E203" s="14" t="n"/>
      <c r="F203" s="15">
        <f>IF(AND(ISNUMBER(D203),ISNUMBER(E203)),ROUND(IF(E203&lt;D203,E203+1-D203,E203-D203)*1440,2),IF(ISNUMBER(N203),N203,""))</f>
        <v/>
      </c>
      <c r="G203" s="10" t="n"/>
      <c r="H203" s="6">
        <f>IF(G203="","",IFERROR(VLOOKUP(G203,MOT,3,FALSE),"código inválido"))</f>
        <v/>
      </c>
      <c r="I203" s="10" t="n"/>
      <c r="J203" s="16" t="n"/>
      <c r="K203" s="16" t="n"/>
      <c r="L203" s="16" t="n"/>
      <c r="M203" s="16" t="n"/>
      <c r="N203" s="10" t="n"/>
      <c r="O203" s="6">
        <f>IF(G203="","",IFERROR(VLOOKUP(G203,MOT,2,FALSE),"código inválido"))</f>
        <v/>
      </c>
      <c r="P203" s="12">
        <f>IF(ISNUMBER(J203),COUNT(J$6:J203),"")</f>
        <v/>
      </c>
    </row>
    <row r="204">
      <c r="A204" s="13" t="n"/>
      <c r="B204" s="10" t="n"/>
      <c r="C204" s="10" t="n"/>
      <c r="D204" s="14" t="n"/>
      <c r="E204" s="14" t="n"/>
      <c r="F204" s="15">
        <f>IF(AND(ISNUMBER(D204),ISNUMBER(E204)),ROUND(IF(E204&lt;D204,E204+1-D204,E204-D204)*1440,2),IF(ISNUMBER(N204),N204,""))</f>
        <v/>
      </c>
      <c r="G204" s="10" t="n"/>
      <c r="H204" s="6">
        <f>IF(G204="","",IFERROR(VLOOKUP(G204,MOT,3,FALSE),"código inválido"))</f>
        <v/>
      </c>
      <c r="I204" s="10" t="n"/>
      <c r="J204" s="16" t="n"/>
      <c r="K204" s="16" t="n"/>
      <c r="L204" s="16" t="n"/>
      <c r="M204" s="16" t="n"/>
      <c r="N204" s="10" t="n"/>
      <c r="O204" s="6">
        <f>IF(G204="","",IFERROR(VLOOKUP(G204,MOT,2,FALSE),"código inválido"))</f>
        <v/>
      </c>
      <c r="P204" s="12">
        <f>IF(ISNUMBER(J204),COUNT(J$6:J204),"")</f>
        <v/>
      </c>
    </row>
    <row r="205">
      <c r="A205" s="13" t="n"/>
      <c r="B205" s="10" t="n"/>
      <c r="C205" s="10" t="n"/>
      <c r="D205" s="14" t="n"/>
      <c r="E205" s="14" t="n"/>
      <c r="F205" s="15">
        <f>IF(AND(ISNUMBER(D205),ISNUMBER(E205)),ROUND(IF(E205&lt;D205,E205+1-D205,E205-D205)*1440,2),IF(ISNUMBER(N205),N205,""))</f>
        <v/>
      </c>
      <c r="G205" s="10" t="n"/>
      <c r="H205" s="6">
        <f>IF(G205="","",IFERROR(VLOOKUP(G205,MOT,3,FALSE),"código inválido"))</f>
        <v/>
      </c>
      <c r="I205" s="10" t="n"/>
      <c r="J205" s="16" t="n"/>
      <c r="K205" s="16" t="n"/>
      <c r="L205" s="16" t="n"/>
      <c r="M205" s="16" t="n"/>
      <c r="N205" s="10" t="n"/>
      <c r="O205" s="6">
        <f>IF(G205="","",IFERROR(VLOOKUP(G205,MOT,2,FALSE),"código inválido"))</f>
        <v/>
      </c>
      <c r="P205" s="12">
        <f>IF(ISNUMBER(J205),COUNT(J$6:J205),"")</f>
        <v/>
      </c>
    </row>
    <row r="206">
      <c r="A206" s="13" t="n"/>
      <c r="B206" s="10" t="n"/>
      <c r="C206" s="10" t="n"/>
      <c r="D206" s="14" t="n"/>
      <c r="E206" s="14" t="n"/>
      <c r="F206" s="15">
        <f>IF(AND(ISNUMBER(D206),ISNUMBER(E206)),ROUND(IF(E206&lt;D206,E206+1-D206,E206-D206)*1440,2),IF(ISNUMBER(N206),N206,""))</f>
        <v/>
      </c>
      <c r="G206" s="10" t="n"/>
      <c r="H206" s="6">
        <f>IF(G206="","",IFERROR(VLOOKUP(G206,MOT,3,FALSE),"código inválido"))</f>
        <v/>
      </c>
      <c r="I206" s="10" t="n"/>
      <c r="J206" s="16" t="n"/>
      <c r="K206" s="16" t="n"/>
      <c r="L206" s="16" t="n"/>
      <c r="M206" s="16" t="n"/>
      <c r="N206" s="10" t="n"/>
      <c r="O206" s="6">
        <f>IF(G206="","",IFERROR(VLOOKUP(G206,MOT,2,FALSE),"código inválido"))</f>
        <v/>
      </c>
      <c r="P206" s="12">
        <f>IF(ISNUMBER(J206),COUNT(J$6:J206),"")</f>
        <v/>
      </c>
    </row>
    <row r="207">
      <c r="A207" s="13" t="n"/>
      <c r="B207" s="10" t="n"/>
      <c r="C207" s="10" t="n"/>
      <c r="D207" s="14" t="n"/>
      <c r="E207" s="14" t="n"/>
      <c r="F207" s="15">
        <f>IF(AND(ISNUMBER(D207),ISNUMBER(E207)),ROUND(IF(E207&lt;D207,E207+1-D207,E207-D207)*1440,2),IF(ISNUMBER(N207),N207,""))</f>
        <v/>
      </c>
      <c r="G207" s="10" t="n"/>
      <c r="H207" s="6">
        <f>IF(G207="","",IFERROR(VLOOKUP(G207,MOT,3,FALSE),"código inválido"))</f>
        <v/>
      </c>
      <c r="I207" s="10" t="n"/>
      <c r="J207" s="16" t="n"/>
      <c r="K207" s="16" t="n"/>
      <c r="L207" s="16" t="n"/>
      <c r="M207" s="16" t="n"/>
      <c r="N207" s="10" t="n"/>
      <c r="O207" s="6">
        <f>IF(G207="","",IFERROR(VLOOKUP(G207,MOT,2,FALSE),"código inválido"))</f>
        <v/>
      </c>
      <c r="P207" s="12">
        <f>IF(ISNUMBER(J207),COUNT(J$6:J207),"")</f>
        <v/>
      </c>
    </row>
    <row r="208">
      <c r="A208" s="13" t="n"/>
      <c r="B208" s="10" t="n"/>
      <c r="C208" s="10" t="n"/>
      <c r="D208" s="14" t="n"/>
      <c r="E208" s="14" t="n"/>
      <c r="F208" s="15">
        <f>IF(AND(ISNUMBER(D208),ISNUMBER(E208)),ROUND(IF(E208&lt;D208,E208+1-D208,E208-D208)*1440,2),IF(ISNUMBER(N208),N208,""))</f>
        <v/>
      </c>
      <c r="G208" s="10" t="n"/>
      <c r="H208" s="6">
        <f>IF(G208="","",IFERROR(VLOOKUP(G208,MOT,3,FALSE),"código inválido"))</f>
        <v/>
      </c>
      <c r="I208" s="10" t="n"/>
      <c r="J208" s="16" t="n"/>
      <c r="K208" s="16" t="n"/>
      <c r="L208" s="16" t="n"/>
      <c r="M208" s="16" t="n"/>
      <c r="N208" s="10" t="n"/>
      <c r="O208" s="6">
        <f>IF(G208="","",IFERROR(VLOOKUP(G208,MOT,2,FALSE),"código inválido"))</f>
        <v/>
      </c>
      <c r="P208" s="12">
        <f>IF(ISNUMBER(J208),COUNT(J$6:J208),"")</f>
        <v/>
      </c>
    </row>
    <row r="209">
      <c r="A209" s="13" t="n"/>
      <c r="B209" s="10" t="n"/>
      <c r="C209" s="10" t="n"/>
      <c r="D209" s="14" t="n"/>
      <c r="E209" s="14" t="n"/>
      <c r="F209" s="15">
        <f>IF(AND(ISNUMBER(D209),ISNUMBER(E209)),ROUND(IF(E209&lt;D209,E209+1-D209,E209-D209)*1440,2),IF(ISNUMBER(N209),N209,""))</f>
        <v/>
      </c>
      <c r="G209" s="10" t="n"/>
      <c r="H209" s="6">
        <f>IF(G209="","",IFERROR(VLOOKUP(G209,MOT,3,FALSE),"código inválido"))</f>
        <v/>
      </c>
      <c r="I209" s="10" t="n"/>
      <c r="J209" s="16" t="n"/>
      <c r="K209" s="16" t="n"/>
      <c r="L209" s="16" t="n"/>
      <c r="M209" s="16" t="n"/>
      <c r="N209" s="10" t="n"/>
      <c r="O209" s="6">
        <f>IF(G209="","",IFERROR(VLOOKUP(G209,MOT,2,FALSE),"código inválido"))</f>
        <v/>
      </c>
      <c r="P209" s="12">
        <f>IF(ISNUMBER(J209),COUNT(J$6:J209),"")</f>
        <v/>
      </c>
    </row>
    <row r="210">
      <c r="A210" s="13" t="n"/>
      <c r="B210" s="10" t="n"/>
      <c r="C210" s="10" t="n"/>
      <c r="D210" s="14" t="n"/>
      <c r="E210" s="14" t="n"/>
      <c r="F210" s="15">
        <f>IF(AND(ISNUMBER(D210),ISNUMBER(E210)),ROUND(IF(E210&lt;D210,E210+1-D210,E210-D210)*1440,2),IF(ISNUMBER(N210),N210,""))</f>
        <v/>
      </c>
      <c r="G210" s="10" t="n"/>
      <c r="H210" s="6">
        <f>IF(G210="","",IFERROR(VLOOKUP(G210,MOT,3,FALSE),"código inválido"))</f>
        <v/>
      </c>
      <c r="I210" s="10" t="n"/>
      <c r="J210" s="16" t="n"/>
      <c r="K210" s="16" t="n"/>
      <c r="L210" s="16" t="n"/>
      <c r="M210" s="16" t="n"/>
      <c r="N210" s="10" t="n"/>
      <c r="O210" s="6">
        <f>IF(G210="","",IFERROR(VLOOKUP(G210,MOT,2,FALSE),"código inválido"))</f>
        <v/>
      </c>
      <c r="P210" s="12">
        <f>IF(ISNUMBER(J210),COUNT(J$6:J210),"")</f>
        <v/>
      </c>
    </row>
    <row r="211">
      <c r="A211" s="13" t="n"/>
      <c r="B211" s="10" t="n"/>
      <c r="C211" s="10" t="n"/>
      <c r="D211" s="14" t="n"/>
      <c r="E211" s="14" t="n"/>
      <c r="F211" s="15">
        <f>IF(AND(ISNUMBER(D211),ISNUMBER(E211)),ROUND(IF(E211&lt;D211,E211+1-D211,E211-D211)*1440,2),IF(ISNUMBER(N211),N211,""))</f>
        <v/>
      </c>
      <c r="G211" s="10" t="n"/>
      <c r="H211" s="6">
        <f>IF(G211="","",IFERROR(VLOOKUP(G211,MOT,3,FALSE),"código inválido"))</f>
        <v/>
      </c>
      <c r="I211" s="10" t="n"/>
      <c r="J211" s="16" t="n"/>
      <c r="K211" s="16" t="n"/>
      <c r="L211" s="16" t="n"/>
      <c r="M211" s="16" t="n"/>
      <c r="N211" s="10" t="n"/>
      <c r="O211" s="6">
        <f>IF(G211="","",IFERROR(VLOOKUP(G211,MOT,2,FALSE),"código inválido"))</f>
        <v/>
      </c>
      <c r="P211" s="12">
        <f>IF(ISNUMBER(J211),COUNT(J$6:J211),"")</f>
        <v/>
      </c>
    </row>
    <row r="212">
      <c r="A212" s="13" t="n"/>
      <c r="B212" s="10" t="n"/>
      <c r="C212" s="10" t="n"/>
      <c r="D212" s="14" t="n"/>
      <c r="E212" s="14" t="n"/>
      <c r="F212" s="15">
        <f>IF(AND(ISNUMBER(D212),ISNUMBER(E212)),ROUND(IF(E212&lt;D212,E212+1-D212,E212-D212)*1440,2),IF(ISNUMBER(N212),N212,""))</f>
        <v/>
      </c>
      <c r="G212" s="10" t="n"/>
      <c r="H212" s="6">
        <f>IF(G212="","",IFERROR(VLOOKUP(G212,MOT,3,FALSE),"código inválido"))</f>
        <v/>
      </c>
      <c r="I212" s="10" t="n"/>
      <c r="J212" s="16" t="n"/>
      <c r="K212" s="16" t="n"/>
      <c r="L212" s="16" t="n"/>
      <c r="M212" s="16" t="n"/>
      <c r="N212" s="10" t="n"/>
      <c r="O212" s="6">
        <f>IF(G212="","",IFERROR(VLOOKUP(G212,MOT,2,FALSE),"código inválido"))</f>
        <v/>
      </c>
      <c r="P212" s="12">
        <f>IF(ISNUMBER(J212),COUNT(J$6:J212),"")</f>
        <v/>
      </c>
    </row>
    <row r="213">
      <c r="A213" s="13" t="n"/>
      <c r="B213" s="10" t="n"/>
      <c r="C213" s="10" t="n"/>
      <c r="D213" s="14" t="n"/>
      <c r="E213" s="14" t="n"/>
      <c r="F213" s="15">
        <f>IF(AND(ISNUMBER(D213),ISNUMBER(E213)),ROUND(IF(E213&lt;D213,E213+1-D213,E213-D213)*1440,2),IF(ISNUMBER(N213),N213,""))</f>
        <v/>
      </c>
      <c r="G213" s="10" t="n"/>
      <c r="H213" s="6">
        <f>IF(G213="","",IFERROR(VLOOKUP(G213,MOT,3,FALSE),"código inválido"))</f>
        <v/>
      </c>
      <c r="I213" s="10" t="n"/>
      <c r="J213" s="16" t="n"/>
      <c r="K213" s="16" t="n"/>
      <c r="L213" s="16" t="n"/>
      <c r="M213" s="16" t="n"/>
      <c r="N213" s="10" t="n"/>
      <c r="O213" s="6">
        <f>IF(G213="","",IFERROR(VLOOKUP(G213,MOT,2,FALSE),"código inválido"))</f>
        <v/>
      </c>
      <c r="P213" s="12">
        <f>IF(ISNUMBER(J213),COUNT(J$6:J213),"")</f>
        <v/>
      </c>
    </row>
    <row r="214">
      <c r="A214" s="13" t="n"/>
      <c r="B214" s="10" t="n"/>
      <c r="C214" s="10" t="n"/>
      <c r="D214" s="14" t="n"/>
      <c r="E214" s="14" t="n"/>
      <c r="F214" s="15">
        <f>IF(AND(ISNUMBER(D214),ISNUMBER(E214)),ROUND(IF(E214&lt;D214,E214+1-D214,E214-D214)*1440,2),IF(ISNUMBER(N214),N214,""))</f>
        <v/>
      </c>
      <c r="G214" s="10" t="n"/>
      <c r="H214" s="6">
        <f>IF(G214="","",IFERROR(VLOOKUP(G214,MOT,3,FALSE),"código inválido"))</f>
        <v/>
      </c>
      <c r="I214" s="10" t="n"/>
      <c r="J214" s="16" t="n"/>
      <c r="K214" s="16" t="n"/>
      <c r="L214" s="16" t="n"/>
      <c r="M214" s="16" t="n"/>
      <c r="N214" s="10" t="n"/>
      <c r="O214" s="6">
        <f>IF(G214="","",IFERROR(VLOOKUP(G214,MOT,2,FALSE),"código inválido"))</f>
        <v/>
      </c>
      <c r="P214" s="12">
        <f>IF(ISNUMBER(J214),COUNT(J$6:J214),"")</f>
        <v/>
      </c>
    </row>
    <row r="215">
      <c r="A215" s="13" t="n"/>
      <c r="B215" s="10" t="n"/>
      <c r="C215" s="10" t="n"/>
      <c r="D215" s="14" t="n"/>
      <c r="E215" s="14" t="n"/>
      <c r="F215" s="15">
        <f>IF(AND(ISNUMBER(D215),ISNUMBER(E215)),ROUND(IF(E215&lt;D215,E215+1-D215,E215-D215)*1440,2),IF(ISNUMBER(N215),N215,""))</f>
        <v/>
      </c>
      <c r="G215" s="10" t="n"/>
      <c r="H215" s="6">
        <f>IF(G215="","",IFERROR(VLOOKUP(G215,MOT,3,FALSE),"código inválido"))</f>
        <v/>
      </c>
      <c r="I215" s="10" t="n"/>
      <c r="J215" s="16" t="n"/>
      <c r="K215" s="16" t="n"/>
      <c r="L215" s="16" t="n"/>
      <c r="M215" s="16" t="n"/>
      <c r="N215" s="10" t="n"/>
      <c r="O215" s="6">
        <f>IF(G215="","",IFERROR(VLOOKUP(G215,MOT,2,FALSE),"código inválido"))</f>
        <v/>
      </c>
      <c r="P215" s="12">
        <f>IF(ISNUMBER(J215),COUNT(J$6:J215),"")</f>
        <v/>
      </c>
    </row>
    <row r="216">
      <c r="A216" s="13" t="n"/>
      <c r="B216" s="10" t="n"/>
      <c r="C216" s="10" t="n"/>
      <c r="D216" s="14" t="n"/>
      <c r="E216" s="14" t="n"/>
      <c r="F216" s="15">
        <f>IF(AND(ISNUMBER(D216),ISNUMBER(E216)),ROUND(IF(E216&lt;D216,E216+1-D216,E216-D216)*1440,2),IF(ISNUMBER(N216),N216,""))</f>
        <v/>
      </c>
      <c r="G216" s="10" t="n"/>
      <c r="H216" s="6">
        <f>IF(G216="","",IFERROR(VLOOKUP(G216,MOT,3,FALSE),"código inválido"))</f>
        <v/>
      </c>
      <c r="I216" s="10" t="n"/>
      <c r="J216" s="16" t="n"/>
      <c r="K216" s="16" t="n"/>
      <c r="L216" s="16" t="n"/>
      <c r="M216" s="16" t="n"/>
      <c r="N216" s="10" t="n"/>
      <c r="O216" s="6">
        <f>IF(G216="","",IFERROR(VLOOKUP(G216,MOT,2,FALSE),"código inválido"))</f>
        <v/>
      </c>
      <c r="P216" s="12">
        <f>IF(ISNUMBER(J216),COUNT(J$6:J216),"")</f>
        <v/>
      </c>
    </row>
    <row r="217">
      <c r="A217" s="13" t="n"/>
      <c r="B217" s="10" t="n"/>
      <c r="C217" s="10" t="n"/>
      <c r="D217" s="14" t="n"/>
      <c r="E217" s="14" t="n"/>
      <c r="F217" s="15">
        <f>IF(AND(ISNUMBER(D217),ISNUMBER(E217)),ROUND(IF(E217&lt;D217,E217+1-D217,E217-D217)*1440,2),IF(ISNUMBER(N217),N217,""))</f>
        <v/>
      </c>
      <c r="G217" s="10" t="n"/>
      <c r="H217" s="6">
        <f>IF(G217="","",IFERROR(VLOOKUP(G217,MOT,3,FALSE),"código inválido"))</f>
        <v/>
      </c>
      <c r="I217" s="10" t="n"/>
      <c r="J217" s="16" t="n"/>
      <c r="K217" s="16" t="n"/>
      <c r="L217" s="16" t="n"/>
      <c r="M217" s="16" t="n"/>
      <c r="N217" s="10" t="n"/>
      <c r="O217" s="6">
        <f>IF(G217="","",IFERROR(VLOOKUP(G217,MOT,2,FALSE),"código inválido"))</f>
        <v/>
      </c>
      <c r="P217" s="12">
        <f>IF(ISNUMBER(J217),COUNT(J$6:J217),"")</f>
        <v/>
      </c>
    </row>
    <row r="218">
      <c r="A218" s="13" t="n"/>
      <c r="B218" s="10" t="n"/>
      <c r="C218" s="10" t="n"/>
      <c r="D218" s="14" t="n"/>
      <c r="E218" s="14" t="n"/>
      <c r="F218" s="15">
        <f>IF(AND(ISNUMBER(D218),ISNUMBER(E218)),ROUND(IF(E218&lt;D218,E218+1-D218,E218-D218)*1440,2),IF(ISNUMBER(N218),N218,""))</f>
        <v/>
      </c>
      <c r="G218" s="10" t="n"/>
      <c r="H218" s="6">
        <f>IF(G218="","",IFERROR(VLOOKUP(G218,MOT,3,FALSE),"código inválido"))</f>
        <v/>
      </c>
      <c r="I218" s="10" t="n"/>
      <c r="J218" s="16" t="n"/>
      <c r="K218" s="16" t="n"/>
      <c r="L218" s="16" t="n"/>
      <c r="M218" s="16" t="n"/>
      <c r="N218" s="10" t="n"/>
      <c r="O218" s="6">
        <f>IF(G218="","",IFERROR(VLOOKUP(G218,MOT,2,FALSE),"código inválido"))</f>
        <v/>
      </c>
      <c r="P218" s="12">
        <f>IF(ISNUMBER(J218),COUNT(J$6:J218),"")</f>
        <v/>
      </c>
    </row>
    <row r="219">
      <c r="A219" s="13" t="n"/>
      <c r="B219" s="10" t="n"/>
      <c r="C219" s="10" t="n"/>
      <c r="D219" s="14" t="n"/>
      <c r="E219" s="14" t="n"/>
      <c r="F219" s="15">
        <f>IF(AND(ISNUMBER(D219),ISNUMBER(E219)),ROUND(IF(E219&lt;D219,E219+1-D219,E219-D219)*1440,2),IF(ISNUMBER(N219),N219,""))</f>
        <v/>
      </c>
      <c r="G219" s="10" t="n"/>
      <c r="H219" s="6">
        <f>IF(G219="","",IFERROR(VLOOKUP(G219,MOT,3,FALSE),"código inválido"))</f>
        <v/>
      </c>
      <c r="I219" s="10" t="n"/>
      <c r="J219" s="16" t="n"/>
      <c r="K219" s="16" t="n"/>
      <c r="L219" s="16" t="n"/>
      <c r="M219" s="16" t="n"/>
      <c r="N219" s="10" t="n"/>
      <c r="O219" s="6">
        <f>IF(G219="","",IFERROR(VLOOKUP(G219,MOT,2,FALSE),"código inválido"))</f>
        <v/>
      </c>
      <c r="P219" s="12">
        <f>IF(ISNUMBER(J219),COUNT(J$6:J219),"")</f>
        <v/>
      </c>
    </row>
    <row r="220">
      <c r="A220" s="13" t="n"/>
      <c r="B220" s="10" t="n"/>
      <c r="C220" s="10" t="n"/>
      <c r="D220" s="14" t="n"/>
      <c r="E220" s="14" t="n"/>
      <c r="F220" s="15">
        <f>IF(AND(ISNUMBER(D220),ISNUMBER(E220)),ROUND(IF(E220&lt;D220,E220+1-D220,E220-D220)*1440,2),IF(ISNUMBER(N220),N220,""))</f>
        <v/>
      </c>
      <c r="G220" s="10" t="n"/>
      <c r="H220" s="6">
        <f>IF(G220="","",IFERROR(VLOOKUP(G220,MOT,3,FALSE),"código inválido"))</f>
        <v/>
      </c>
      <c r="I220" s="10" t="n"/>
      <c r="J220" s="16" t="n"/>
      <c r="K220" s="16" t="n"/>
      <c r="L220" s="16" t="n"/>
      <c r="M220" s="16" t="n"/>
      <c r="N220" s="10" t="n"/>
      <c r="O220" s="6">
        <f>IF(G220="","",IFERROR(VLOOKUP(G220,MOT,2,FALSE),"código inválido"))</f>
        <v/>
      </c>
      <c r="P220" s="12">
        <f>IF(ISNUMBER(J220),COUNT(J$6:J220),"")</f>
        <v/>
      </c>
    </row>
    <row r="221">
      <c r="A221" s="13" t="n"/>
      <c r="B221" s="10" t="n"/>
      <c r="C221" s="10" t="n"/>
      <c r="D221" s="14" t="n"/>
      <c r="E221" s="14" t="n"/>
      <c r="F221" s="15">
        <f>IF(AND(ISNUMBER(D221),ISNUMBER(E221)),ROUND(IF(E221&lt;D221,E221+1-D221,E221-D221)*1440,2),IF(ISNUMBER(N221),N221,""))</f>
        <v/>
      </c>
      <c r="G221" s="10" t="n"/>
      <c r="H221" s="6">
        <f>IF(G221="","",IFERROR(VLOOKUP(G221,MOT,3,FALSE),"código inválido"))</f>
        <v/>
      </c>
      <c r="I221" s="10" t="n"/>
      <c r="J221" s="16" t="n"/>
      <c r="K221" s="16" t="n"/>
      <c r="L221" s="16" t="n"/>
      <c r="M221" s="16" t="n"/>
      <c r="N221" s="10" t="n"/>
      <c r="O221" s="6">
        <f>IF(G221="","",IFERROR(VLOOKUP(G221,MOT,2,FALSE),"código inválido"))</f>
        <v/>
      </c>
      <c r="P221" s="12">
        <f>IF(ISNUMBER(J221),COUNT(J$6:J221),"")</f>
        <v/>
      </c>
    </row>
    <row r="222">
      <c r="A222" s="13" t="n"/>
      <c r="B222" s="10" t="n"/>
      <c r="C222" s="10" t="n"/>
      <c r="D222" s="14" t="n"/>
      <c r="E222" s="14" t="n"/>
      <c r="F222" s="15">
        <f>IF(AND(ISNUMBER(D222),ISNUMBER(E222)),ROUND(IF(E222&lt;D222,E222+1-D222,E222-D222)*1440,2),IF(ISNUMBER(N222),N222,""))</f>
        <v/>
      </c>
      <c r="G222" s="10" t="n"/>
      <c r="H222" s="6">
        <f>IF(G222="","",IFERROR(VLOOKUP(G222,MOT,3,FALSE),"código inválido"))</f>
        <v/>
      </c>
      <c r="I222" s="10" t="n"/>
      <c r="J222" s="16" t="n"/>
      <c r="K222" s="16" t="n"/>
      <c r="L222" s="16" t="n"/>
      <c r="M222" s="16" t="n"/>
      <c r="N222" s="10" t="n"/>
      <c r="O222" s="6">
        <f>IF(G222="","",IFERROR(VLOOKUP(G222,MOT,2,FALSE),"código inválido"))</f>
        <v/>
      </c>
      <c r="P222" s="12">
        <f>IF(ISNUMBER(J222),COUNT(J$6:J222),"")</f>
        <v/>
      </c>
    </row>
    <row r="223">
      <c r="A223" s="13" t="n"/>
      <c r="B223" s="10" t="n"/>
      <c r="C223" s="10" t="n"/>
      <c r="D223" s="14" t="n"/>
      <c r="E223" s="14" t="n"/>
      <c r="F223" s="15">
        <f>IF(AND(ISNUMBER(D223),ISNUMBER(E223)),ROUND(IF(E223&lt;D223,E223+1-D223,E223-D223)*1440,2),IF(ISNUMBER(N223),N223,""))</f>
        <v/>
      </c>
      <c r="G223" s="10" t="n"/>
      <c r="H223" s="6">
        <f>IF(G223="","",IFERROR(VLOOKUP(G223,MOT,3,FALSE),"código inválido"))</f>
        <v/>
      </c>
      <c r="I223" s="10" t="n"/>
      <c r="J223" s="16" t="n"/>
      <c r="K223" s="16" t="n"/>
      <c r="L223" s="16" t="n"/>
      <c r="M223" s="16" t="n"/>
      <c r="N223" s="10" t="n"/>
      <c r="O223" s="6">
        <f>IF(G223="","",IFERROR(VLOOKUP(G223,MOT,2,FALSE),"código inválido"))</f>
        <v/>
      </c>
      <c r="P223" s="12">
        <f>IF(ISNUMBER(J223),COUNT(J$6:J223),"")</f>
        <v/>
      </c>
    </row>
    <row r="224">
      <c r="A224" s="13" t="n"/>
      <c r="B224" s="10" t="n"/>
      <c r="C224" s="10" t="n"/>
      <c r="D224" s="14" t="n"/>
      <c r="E224" s="14" t="n"/>
      <c r="F224" s="15">
        <f>IF(AND(ISNUMBER(D224),ISNUMBER(E224)),ROUND(IF(E224&lt;D224,E224+1-D224,E224-D224)*1440,2),IF(ISNUMBER(N224),N224,""))</f>
        <v/>
      </c>
      <c r="G224" s="10" t="n"/>
      <c r="H224" s="6">
        <f>IF(G224="","",IFERROR(VLOOKUP(G224,MOT,3,FALSE),"código inválido"))</f>
        <v/>
      </c>
      <c r="I224" s="10" t="n"/>
      <c r="J224" s="16" t="n"/>
      <c r="K224" s="16" t="n"/>
      <c r="L224" s="16" t="n"/>
      <c r="M224" s="16" t="n"/>
      <c r="N224" s="10" t="n"/>
      <c r="O224" s="6">
        <f>IF(G224="","",IFERROR(VLOOKUP(G224,MOT,2,FALSE),"código inválido"))</f>
        <v/>
      </c>
      <c r="P224" s="12">
        <f>IF(ISNUMBER(J224),COUNT(J$6:J224),"")</f>
        <v/>
      </c>
    </row>
    <row r="225">
      <c r="A225" s="13" t="n"/>
      <c r="B225" s="10" t="n"/>
      <c r="C225" s="10" t="n"/>
      <c r="D225" s="14" t="n"/>
      <c r="E225" s="14" t="n"/>
      <c r="F225" s="15">
        <f>IF(AND(ISNUMBER(D225),ISNUMBER(E225)),ROUND(IF(E225&lt;D225,E225+1-D225,E225-D225)*1440,2),IF(ISNUMBER(N225),N225,""))</f>
        <v/>
      </c>
      <c r="G225" s="10" t="n"/>
      <c r="H225" s="6">
        <f>IF(G225="","",IFERROR(VLOOKUP(G225,MOT,3,FALSE),"código inválido"))</f>
        <v/>
      </c>
      <c r="I225" s="10" t="n"/>
      <c r="J225" s="16" t="n"/>
      <c r="K225" s="16" t="n"/>
      <c r="L225" s="16" t="n"/>
      <c r="M225" s="16" t="n"/>
      <c r="N225" s="10" t="n"/>
      <c r="O225" s="6">
        <f>IF(G225="","",IFERROR(VLOOKUP(G225,MOT,2,FALSE),"código inválido"))</f>
        <v/>
      </c>
      <c r="P225" s="12">
        <f>IF(ISNUMBER(J225),COUNT(J$6:J225),"")</f>
        <v/>
      </c>
    </row>
    <row r="226">
      <c r="A226" s="13" t="n"/>
      <c r="B226" s="10" t="n"/>
      <c r="C226" s="10" t="n"/>
      <c r="D226" s="14" t="n"/>
      <c r="E226" s="14" t="n"/>
      <c r="F226" s="15">
        <f>IF(AND(ISNUMBER(D226),ISNUMBER(E226)),ROUND(IF(E226&lt;D226,E226+1-D226,E226-D226)*1440,2),IF(ISNUMBER(N226),N226,""))</f>
        <v/>
      </c>
      <c r="G226" s="10" t="n"/>
      <c r="H226" s="6">
        <f>IF(G226="","",IFERROR(VLOOKUP(G226,MOT,3,FALSE),"código inválido"))</f>
        <v/>
      </c>
      <c r="I226" s="10" t="n"/>
      <c r="J226" s="16" t="n"/>
      <c r="K226" s="16" t="n"/>
      <c r="L226" s="16" t="n"/>
      <c r="M226" s="16" t="n"/>
      <c r="N226" s="10" t="n"/>
      <c r="O226" s="6">
        <f>IF(G226="","",IFERROR(VLOOKUP(G226,MOT,2,FALSE),"código inválido"))</f>
        <v/>
      </c>
      <c r="P226" s="12">
        <f>IF(ISNUMBER(J226),COUNT(J$6:J226),"")</f>
        <v/>
      </c>
    </row>
    <row r="227">
      <c r="A227" s="13" t="n"/>
      <c r="B227" s="10" t="n"/>
      <c r="C227" s="10" t="n"/>
      <c r="D227" s="14" t="n"/>
      <c r="E227" s="14" t="n"/>
      <c r="F227" s="15">
        <f>IF(AND(ISNUMBER(D227),ISNUMBER(E227)),ROUND(IF(E227&lt;D227,E227+1-D227,E227-D227)*1440,2),IF(ISNUMBER(N227),N227,""))</f>
        <v/>
      </c>
      <c r="G227" s="10" t="n"/>
      <c r="H227" s="6">
        <f>IF(G227="","",IFERROR(VLOOKUP(G227,MOT,3,FALSE),"código inválido"))</f>
        <v/>
      </c>
      <c r="I227" s="10" t="n"/>
      <c r="J227" s="16" t="n"/>
      <c r="K227" s="16" t="n"/>
      <c r="L227" s="16" t="n"/>
      <c r="M227" s="16" t="n"/>
      <c r="N227" s="10" t="n"/>
      <c r="O227" s="6">
        <f>IF(G227="","",IFERROR(VLOOKUP(G227,MOT,2,FALSE),"código inválido"))</f>
        <v/>
      </c>
      <c r="P227" s="12">
        <f>IF(ISNUMBER(J227),COUNT(J$6:J227),"")</f>
        <v/>
      </c>
    </row>
    <row r="228">
      <c r="A228" s="13" t="n"/>
      <c r="B228" s="10" t="n"/>
      <c r="C228" s="10" t="n"/>
      <c r="D228" s="14" t="n"/>
      <c r="E228" s="14" t="n"/>
      <c r="F228" s="15">
        <f>IF(AND(ISNUMBER(D228),ISNUMBER(E228)),ROUND(IF(E228&lt;D228,E228+1-D228,E228-D228)*1440,2),IF(ISNUMBER(N228),N228,""))</f>
        <v/>
      </c>
      <c r="G228" s="10" t="n"/>
      <c r="H228" s="6">
        <f>IF(G228="","",IFERROR(VLOOKUP(G228,MOT,3,FALSE),"código inválido"))</f>
        <v/>
      </c>
      <c r="I228" s="10" t="n"/>
      <c r="J228" s="16" t="n"/>
      <c r="K228" s="16" t="n"/>
      <c r="L228" s="16" t="n"/>
      <c r="M228" s="16" t="n"/>
      <c r="N228" s="10" t="n"/>
      <c r="O228" s="6">
        <f>IF(G228="","",IFERROR(VLOOKUP(G228,MOT,2,FALSE),"código inválido"))</f>
        <v/>
      </c>
      <c r="P228" s="12">
        <f>IF(ISNUMBER(J228),COUNT(J$6:J228),"")</f>
        <v/>
      </c>
    </row>
    <row r="229">
      <c r="A229" s="13" t="n"/>
      <c r="B229" s="10" t="n"/>
      <c r="C229" s="10" t="n"/>
      <c r="D229" s="14" t="n"/>
      <c r="E229" s="14" t="n"/>
      <c r="F229" s="15">
        <f>IF(AND(ISNUMBER(D229),ISNUMBER(E229)),ROUND(IF(E229&lt;D229,E229+1-D229,E229-D229)*1440,2),IF(ISNUMBER(N229),N229,""))</f>
        <v/>
      </c>
      <c r="G229" s="10" t="n"/>
      <c r="H229" s="6">
        <f>IF(G229="","",IFERROR(VLOOKUP(G229,MOT,3,FALSE),"código inválido"))</f>
        <v/>
      </c>
      <c r="I229" s="10" t="n"/>
      <c r="J229" s="16" t="n"/>
      <c r="K229" s="16" t="n"/>
      <c r="L229" s="16" t="n"/>
      <c r="M229" s="16" t="n"/>
      <c r="N229" s="10" t="n"/>
      <c r="O229" s="6">
        <f>IF(G229="","",IFERROR(VLOOKUP(G229,MOT,2,FALSE),"código inválido"))</f>
        <v/>
      </c>
      <c r="P229" s="12">
        <f>IF(ISNUMBER(J229),COUNT(J$6:J229),"")</f>
        <v/>
      </c>
    </row>
    <row r="230">
      <c r="A230" s="13" t="n"/>
      <c r="B230" s="10" t="n"/>
      <c r="C230" s="10" t="n"/>
      <c r="D230" s="14" t="n"/>
      <c r="E230" s="14" t="n"/>
      <c r="F230" s="15">
        <f>IF(AND(ISNUMBER(D230),ISNUMBER(E230)),ROUND(IF(E230&lt;D230,E230+1-D230,E230-D230)*1440,2),IF(ISNUMBER(N230),N230,""))</f>
        <v/>
      </c>
      <c r="G230" s="10" t="n"/>
      <c r="H230" s="6">
        <f>IF(G230="","",IFERROR(VLOOKUP(G230,MOT,3,FALSE),"código inválido"))</f>
        <v/>
      </c>
      <c r="I230" s="10" t="n"/>
      <c r="J230" s="16" t="n"/>
      <c r="K230" s="16" t="n"/>
      <c r="L230" s="16" t="n"/>
      <c r="M230" s="16" t="n"/>
      <c r="N230" s="10" t="n"/>
      <c r="O230" s="6">
        <f>IF(G230="","",IFERROR(VLOOKUP(G230,MOT,2,FALSE),"código inválido"))</f>
        <v/>
      </c>
      <c r="P230" s="12">
        <f>IF(ISNUMBER(J230),COUNT(J$6:J230),"")</f>
        <v/>
      </c>
    </row>
    <row r="231">
      <c r="A231" s="13" t="n"/>
      <c r="B231" s="10" t="n"/>
      <c r="C231" s="10" t="n"/>
      <c r="D231" s="14" t="n"/>
      <c r="E231" s="14" t="n"/>
      <c r="F231" s="15">
        <f>IF(AND(ISNUMBER(D231),ISNUMBER(E231)),ROUND(IF(E231&lt;D231,E231+1-D231,E231-D231)*1440,2),IF(ISNUMBER(N231),N231,""))</f>
        <v/>
      </c>
      <c r="G231" s="10" t="n"/>
      <c r="H231" s="6">
        <f>IF(G231="","",IFERROR(VLOOKUP(G231,MOT,3,FALSE),"código inválido"))</f>
        <v/>
      </c>
      <c r="I231" s="10" t="n"/>
      <c r="J231" s="16" t="n"/>
      <c r="K231" s="16" t="n"/>
      <c r="L231" s="16" t="n"/>
      <c r="M231" s="16" t="n"/>
      <c r="N231" s="10" t="n"/>
      <c r="O231" s="6">
        <f>IF(G231="","",IFERROR(VLOOKUP(G231,MOT,2,FALSE),"código inválido"))</f>
        <v/>
      </c>
      <c r="P231" s="12">
        <f>IF(ISNUMBER(J231),COUNT(J$6:J231),"")</f>
        <v/>
      </c>
    </row>
    <row r="232">
      <c r="A232" s="13" t="n"/>
      <c r="B232" s="10" t="n"/>
      <c r="C232" s="10" t="n"/>
      <c r="D232" s="14" t="n"/>
      <c r="E232" s="14" t="n"/>
      <c r="F232" s="15">
        <f>IF(AND(ISNUMBER(D232),ISNUMBER(E232)),ROUND(IF(E232&lt;D232,E232+1-D232,E232-D232)*1440,2),IF(ISNUMBER(N232),N232,""))</f>
        <v/>
      </c>
      <c r="G232" s="10" t="n"/>
      <c r="H232" s="6">
        <f>IF(G232="","",IFERROR(VLOOKUP(G232,MOT,3,FALSE),"código inválido"))</f>
        <v/>
      </c>
      <c r="I232" s="10" t="n"/>
      <c r="J232" s="16" t="n"/>
      <c r="K232" s="16" t="n"/>
      <c r="L232" s="16" t="n"/>
      <c r="M232" s="16" t="n"/>
      <c r="N232" s="10" t="n"/>
      <c r="O232" s="6">
        <f>IF(G232="","",IFERROR(VLOOKUP(G232,MOT,2,FALSE),"código inválido"))</f>
        <v/>
      </c>
      <c r="P232" s="12">
        <f>IF(ISNUMBER(J232),COUNT(J$6:J232),"")</f>
        <v/>
      </c>
    </row>
    <row r="233">
      <c r="A233" s="13" t="n"/>
      <c r="B233" s="10" t="n"/>
      <c r="C233" s="10" t="n"/>
      <c r="D233" s="14" t="n"/>
      <c r="E233" s="14" t="n"/>
      <c r="F233" s="15">
        <f>IF(AND(ISNUMBER(D233),ISNUMBER(E233)),ROUND(IF(E233&lt;D233,E233+1-D233,E233-D233)*1440,2),IF(ISNUMBER(N233),N233,""))</f>
        <v/>
      </c>
      <c r="G233" s="10" t="n"/>
      <c r="H233" s="6">
        <f>IF(G233="","",IFERROR(VLOOKUP(G233,MOT,3,FALSE),"código inválido"))</f>
        <v/>
      </c>
      <c r="I233" s="10" t="n"/>
      <c r="J233" s="16" t="n"/>
      <c r="K233" s="16" t="n"/>
      <c r="L233" s="16" t="n"/>
      <c r="M233" s="16" t="n"/>
      <c r="N233" s="10" t="n"/>
      <c r="O233" s="6">
        <f>IF(G233="","",IFERROR(VLOOKUP(G233,MOT,2,FALSE),"código inválido"))</f>
        <v/>
      </c>
      <c r="P233" s="12">
        <f>IF(ISNUMBER(J233),COUNT(J$6:J233),"")</f>
        <v/>
      </c>
    </row>
    <row r="234">
      <c r="A234" s="13" t="n"/>
      <c r="B234" s="10" t="n"/>
      <c r="C234" s="10" t="n"/>
      <c r="D234" s="14" t="n"/>
      <c r="E234" s="14" t="n"/>
      <c r="F234" s="15">
        <f>IF(AND(ISNUMBER(D234),ISNUMBER(E234)),ROUND(IF(E234&lt;D234,E234+1-D234,E234-D234)*1440,2),IF(ISNUMBER(N234),N234,""))</f>
        <v/>
      </c>
      <c r="G234" s="10" t="n"/>
      <c r="H234" s="6">
        <f>IF(G234="","",IFERROR(VLOOKUP(G234,MOT,3,FALSE),"código inválido"))</f>
        <v/>
      </c>
      <c r="I234" s="10" t="n"/>
      <c r="J234" s="16" t="n"/>
      <c r="K234" s="16" t="n"/>
      <c r="L234" s="16" t="n"/>
      <c r="M234" s="16" t="n"/>
      <c r="N234" s="10" t="n"/>
      <c r="O234" s="6">
        <f>IF(G234="","",IFERROR(VLOOKUP(G234,MOT,2,FALSE),"código inválido"))</f>
        <v/>
      </c>
      <c r="P234" s="12">
        <f>IF(ISNUMBER(J234),COUNT(J$6:J234),"")</f>
        <v/>
      </c>
    </row>
    <row r="235">
      <c r="A235" s="13" t="n"/>
      <c r="B235" s="10" t="n"/>
      <c r="C235" s="10" t="n"/>
      <c r="D235" s="14" t="n"/>
      <c r="E235" s="14" t="n"/>
      <c r="F235" s="15">
        <f>IF(AND(ISNUMBER(D235),ISNUMBER(E235)),ROUND(IF(E235&lt;D235,E235+1-D235,E235-D235)*1440,2),IF(ISNUMBER(N235),N235,""))</f>
        <v/>
      </c>
      <c r="G235" s="10" t="n"/>
      <c r="H235" s="6">
        <f>IF(G235="","",IFERROR(VLOOKUP(G235,MOT,3,FALSE),"código inválido"))</f>
        <v/>
      </c>
      <c r="I235" s="10" t="n"/>
      <c r="J235" s="16" t="n"/>
      <c r="K235" s="16" t="n"/>
      <c r="L235" s="16" t="n"/>
      <c r="M235" s="16" t="n"/>
      <c r="N235" s="10" t="n"/>
      <c r="O235" s="6">
        <f>IF(G235="","",IFERROR(VLOOKUP(G235,MOT,2,FALSE),"código inválido"))</f>
        <v/>
      </c>
      <c r="P235" s="12">
        <f>IF(ISNUMBER(J235),COUNT(J$6:J235),"")</f>
        <v/>
      </c>
    </row>
    <row r="236">
      <c r="A236" s="13" t="n"/>
      <c r="B236" s="10" t="n"/>
      <c r="C236" s="10" t="n"/>
      <c r="D236" s="14" t="n"/>
      <c r="E236" s="14" t="n"/>
      <c r="F236" s="15">
        <f>IF(AND(ISNUMBER(D236),ISNUMBER(E236)),ROUND(IF(E236&lt;D236,E236+1-D236,E236-D236)*1440,2),IF(ISNUMBER(N236),N236,""))</f>
        <v/>
      </c>
      <c r="G236" s="10" t="n"/>
      <c r="H236" s="6">
        <f>IF(G236="","",IFERROR(VLOOKUP(G236,MOT,3,FALSE),"código inválido"))</f>
        <v/>
      </c>
      <c r="I236" s="10" t="n"/>
      <c r="J236" s="16" t="n"/>
      <c r="K236" s="16" t="n"/>
      <c r="L236" s="16" t="n"/>
      <c r="M236" s="16" t="n"/>
      <c r="N236" s="10" t="n"/>
      <c r="O236" s="6">
        <f>IF(G236="","",IFERROR(VLOOKUP(G236,MOT,2,FALSE),"código inválido"))</f>
        <v/>
      </c>
      <c r="P236" s="12">
        <f>IF(ISNUMBER(J236),COUNT(J$6:J236),"")</f>
        <v/>
      </c>
    </row>
    <row r="237">
      <c r="A237" s="13" t="n"/>
      <c r="B237" s="10" t="n"/>
      <c r="C237" s="10" t="n"/>
      <c r="D237" s="14" t="n"/>
      <c r="E237" s="14" t="n"/>
      <c r="F237" s="15">
        <f>IF(AND(ISNUMBER(D237),ISNUMBER(E237)),ROUND(IF(E237&lt;D237,E237+1-D237,E237-D237)*1440,2),IF(ISNUMBER(N237),N237,""))</f>
        <v/>
      </c>
      <c r="G237" s="10" t="n"/>
      <c r="H237" s="6">
        <f>IF(G237="","",IFERROR(VLOOKUP(G237,MOT,3,FALSE),"código inválido"))</f>
        <v/>
      </c>
      <c r="I237" s="10" t="n"/>
      <c r="J237" s="16" t="n"/>
      <c r="K237" s="16" t="n"/>
      <c r="L237" s="16" t="n"/>
      <c r="M237" s="16" t="n"/>
      <c r="N237" s="10" t="n"/>
      <c r="O237" s="6">
        <f>IF(G237="","",IFERROR(VLOOKUP(G237,MOT,2,FALSE),"código inválido"))</f>
        <v/>
      </c>
      <c r="P237" s="12">
        <f>IF(ISNUMBER(J237),COUNT(J$6:J237),"")</f>
        <v/>
      </c>
    </row>
    <row r="238">
      <c r="A238" s="13" t="n"/>
      <c r="B238" s="10" t="n"/>
      <c r="C238" s="10" t="n"/>
      <c r="D238" s="14" t="n"/>
      <c r="E238" s="14" t="n"/>
      <c r="F238" s="15">
        <f>IF(AND(ISNUMBER(D238),ISNUMBER(E238)),ROUND(IF(E238&lt;D238,E238+1-D238,E238-D238)*1440,2),IF(ISNUMBER(N238),N238,""))</f>
        <v/>
      </c>
      <c r="G238" s="10" t="n"/>
      <c r="H238" s="6">
        <f>IF(G238="","",IFERROR(VLOOKUP(G238,MOT,3,FALSE),"código inválido"))</f>
        <v/>
      </c>
      <c r="I238" s="10" t="n"/>
      <c r="J238" s="16" t="n"/>
      <c r="K238" s="16" t="n"/>
      <c r="L238" s="16" t="n"/>
      <c r="M238" s="16" t="n"/>
      <c r="N238" s="10" t="n"/>
      <c r="O238" s="6">
        <f>IF(G238="","",IFERROR(VLOOKUP(G238,MOT,2,FALSE),"código inválido"))</f>
        <v/>
      </c>
      <c r="P238" s="12">
        <f>IF(ISNUMBER(J238),COUNT(J$6:J238),"")</f>
        <v/>
      </c>
    </row>
    <row r="239">
      <c r="A239" s="13" t="n"/>
      <c r="B239" s="10" t="n"/>
      <c r="C239" s="10" t="n"/>
      <c r="D239" s="14" t="n"/>
      <c r="E239" s="14" t="n"/>
      <c r="F239" s="15">
        <f>IF(AND(ISNUMBER(D239),ISNUMBER(E239)),ROUND(IF(E239&lt;D239,E239+1-D239,E239-D239)*1440,2),IF(ISNUMBER(N239),N239,""))</f>
        <v/>
      </c>
      <c r="G239" s="10" t="n"/>
      <c r="H239" s="6">
        <f>IF(G239="","",IFERROR(VLOOKUP(G239,MOT,3,FALSE),"código inválido"))</f>
        <v/>
      </c>
      <c r="I239" s="10" t="n"/>
      <c r="J239" s="16" t="n"/>
      <c r="K239" s="16" t="n"/>
      <c r="L239" s="16" t="n"/>
      <c r="M239" s="16" t="n"/>
      <c r="N239" s="10" t="n"/>
      <c r="O239" s="6">
        <f>IF(G239="","",IFERROR(VLOOKUP(G239,MOT,2,FALSE),"código inválido"))</f>
        <v/>
      </c>
      <c r="P239" s="12">
        <f>IF(ISNUMBER(J239),COUNT(J$6:J239),"")</f>
        <v/>
      </c>
    </row>
    <row r="240">
      <c r="A240" s="13" t="n"/>
      <c r="B240" s="10" t="n"/>
      <c r="C240" s="10" t="n"/>
      <c r="D240" s="14" t="n"/>
      <c r="E240" s="14" t="n"/>
      <c r="F240" s="15">
        <f>IF(AND(ISNUMBER(D240),ISNUMBER(E240)),ROUND(IF(E240&lt;D240,E240+1-D240,E240-D240)*1440,2),IF(ISNUMBER(N240),N240,""))</f>
        <v/>
      </c>
      <c r="G240" s="10" t="n"/>
      <c r="H240" s="6">
        <f>IF(G240="","",IFERROR(VLOOKUP(G240,MOT,3,FALSE),"código inválido"))</f>
        <v/>
      </c>
      <c r="I240" s="10" t="n"/>
      <c r="J240" s="16" t="n"/>
      <c r="K240" s="16" t="n"/>
      <c r="L240" s="16" t="n"/>
      <c r="M240" s="16" t="n"/>
      <c r="N240" s="10" t="n"/>
      <c r="O240" s="6">
        <f>IF(G240="","",IFERROR(VLOOKUP(G240,MOT,2,FALSE),"código inválido"))</f>
        <v/>
      </c>
      <c r="P240" s="12">
        <f>IF(ISNUMBER(J240),COUNT(J$6:J240),"")</f>
        <v/>
      </c>
    </row>
    <row r="241">
      <c r="A241" s="13" t="n"/>
      <c r="B241" s="10" t="n"/>
      <c r="C241" s="10" t="n"/>
      <c r="D241" s="14" t="n"/>
      <c r="E241" s="14" t="n"/>
      <c r="F241" s="15">
        <f>IF(AND(ISNUMBER(D241),ISNUMBER(E241)),ROUND(IF(E241&lt;D241,E241+1-D241,E241-D241)*1440,2),IF(ISNUMBER(N241),N241,""))</f>
        <v/>
      </c>
      <c r="G241" s="10" t="n"/>
      <c r="H241" s="6">
        <f>IF(G241="","",IFERROR(VLOOKUP(G241,MOT,3,FALSE),"código inválido"))</f>
        <v/>
      </c>
      <c r="I241" s="10" t="n"/>
      <c r="J241" s="16" t="n"/>
      <c r="K241" s="16" t="n"/>
      <c r="L241" s="16" t="n"/>
      <c r="M241" s="16" t="n"/>
      <c r="N241" s="10" t="n"/>
      <c r="O241" s="6">
        <f>IF(G241="","",IFERROR(VLOOKUP(G241,MOT,2,FALSE),"código inválido"))</f>
        <v/>
      </c>
      <c r="P241" s="12">
        <f>IF(ISNUMBER(J241),COUNT(J$6:J241),"")</f>
        <v/>
      </c>
    </row>
    <row r="242">
      <c r="A242" s="13" t="n"/>
      <c r="B242" s="10" t="n"/>
      <c r="C242" s="10" t="n"/>
      <c r="D242" s="14" t="n"/>
      <c r="E242" s="14" t="n"/>
      <c r="F242" s="15">
        <f>IF(AND(ISNUMBER(D242),ISNUMBER(E242)),ROUND(IF(E242&lt;D242,E242+1-D242,E242-D242)*1440,2),IF(ISNUMBER(N242),N242,""))</f>
        <v/>
      </c>
      <c r="G242" s="10" t="n"/>
      <c r="H242" s="6">
        <f>IF(G242="","",IFERROR(VLOOKUP(G242,MOT,3,FALSE),"código inválido"))</f>
        <v/>
      </c>
      <c r="I242" s="10" t="n"/>
      <c r="J242" s="16" t="n"/>
      <c r="K242" s="16" t="n"/>
      <c r="L242" s="16" t="n"/>
      <c r="M242" s="16" t="n"/>
      <c r="N242" s="10" t="n"/>
      <c r="O242" s="6">
        <f>IF(G242="","",IFERROR(VLOOKUP(G242,MOT,2,FALSE),"código inválido"))</f>
        <v/>
      </c>
      <c r="P242" s="12">
        <f>IF(ISNUMBER(J242),COUNT(J$6:J242),"")</f>
        <v/>
      </c>
    </row>
    <row r="243">
      <c r="A243" s="13" t="n"/>
      <c r="B243" s="10" t="n"/>
      <c r="C243" s="10" t="n"/>
      <c r="D243" s="14" t="n"/>
      <c r="E243" s="14" t="n"/>
      <c r="F243" s="15">
        <f>IF(AND(ISNUMBER(D243),ISNUMBER(E243)),ROUND(IF(E243&lt;D243,E243+1-D243,E243-D243)*1440,2),IF(ISNUMBER(N243),N243,""))</f>
        <v/>
      </c>
      <c r="G243" s="10" t="n"/>
      <c r="H243" s="6">
        <f>IF(G243="","",IFERROR(VLOOKUP(G243,MOT,3,FALSE),"código inválido"))</f>
        <v/>
      </c>
      <c r="I243" s="10" t="n"/>
      <c r="J243" s="16" t="n"/>
      <c r="K243" s="16" t="n"/>
      <c r="L243" s="16" t="n"/>
      <c r="M243" s="16" t="n"/>
      <c r="N243" s="10" t="n"/>
      <c r="O243" s="6">
        <f>IF(G243="","",IFERROR(VLOOKUP(G243,MOT,2,FALSE),"código inválido"))</f>
        <v/>
      </c>
      <c r="P243" s="12">
        <f>IF(ISNUMBER(J243),COUNT(J$6:J243),"")</f>
        <v/>
      </c>
    </row>
    <row r="244">
      <c r="A244" s="13" t="n"/>
      <c r="B244" s="10" t="n"/>
      <c r="C244" s="10" t="n"/>
      <c r="D244" s="14" t="n"/>
      <c r="E244" s="14" t="n"/>
      <c r="F244" s="15">
        <f>IF(AND(ISNUMBER(D244),ISNUMBER(E244)),ROUND(IF(E244&lt;D244,E244+1-D244,E244-D244)*1440,2),IF(ISNUMBER(N244),N244,""))</f>
        <v/>
      </c>
      <c r="G244" s="10" t="n"/>
      <c r="H244" s="6">
        <f>IF(G244="","",IFERROR(VLOOKUP(G244,MOT,3,FALSE),"código inválido"))</f>
        <v/>
      </c>
      <c r="I244" s="10" t="n"/>
      <c r="J244" s="16" t="n"/>
      <c r="K244" s="16" t="n"/>
      <c r="L244" s="16" t="n"/>
      <c r="M244" s="16" t="n"/>
      <c r="N244" s="10" t="n"/>
      <c r="O244" s="6">
        <f>IF(G244="","",IFERROR(VLOOKUP(G244,MOT,2,FALSE),"código inválido"))</f>
        <v/>
      </c>
      <c r="P244" s="12">
        <f>IF(ISNUMBER(J244),COUNT(J$6:J244),"")</f>
        <v/>
      </c>
    </row>
    <row r="245">
      <c r="A245" s="13" t="n"/>
      <c r="B245" s="10" t="n"/>
      <c r="C245" s="10" t="n"/>
      <c r="D245" s="14" t="n"/>
      <c r="E245" s="14" t="n"/>
      <c r="F245" s="15">
        <f>IF(AND(ISNUMBER(D245),ISNUMBER(E245)),ROUND(IF(E245&lt;D245,E245+1-D245,E245-D245)*1440,2),IF(ISNUMBER(N245),N245,""))</f>
        <v/>
      </c>
      <c r="G245" s="10" t="n"/>
      <c r="H245" s="6">
        <f>IF(G245="","",IFERROR(VLOOKUP(G245,MOT,3,FALSE),"código inválido"))</f>
        <v/>
      </c>
      <c r="I245" s="10" t="n"/>
      <c r="J245" s="16" t="n"/>
      <c r="K245" s="16" t="n"/>
      <c r="L245" s="16" t="n"/>
      <c r="M245" s="16" t="n"/>
      <c r="N245" s="10" t="n"/>
      <c r="O245" s="6">
        <f>IF(G245="","",IFERROR(VLOOKUP(G245,MOT,2,FALSE),"código inválido"))</f>
        <v/>
      </c>
      <c r="P245" s="12">
        <f>IF(ISNUMBER(J245),COUNT(J$6:J245),"")</f>
        <v/>
      </c>
    </row>
    <row r="246">
      <c r="A246" s="13" t="n"/>
      <c r="B246" s="10" t="n"/>
      <c r="C246" s="10" t="n"/>
      <c r="D246" s="14" t="n"/>
      <c r="E246" s="14" t="n"/>
      <c r="F246" s="15">
        <f>IF(AND(ISNUMBER(D246),ISNUMBER(E246)),ROUND(IF(E246&lt;D246,E246+1-D246,E246-D246)*1440,2),IF(ISNUMBER(N246),N246,""))</f>
        <v/>
      </c>
      <c r="G246" s="10" t="n"/>
      <c r="H246" s="6">
        <f>IF(G246="","",IFERROR(VLOOKUP(G246,MOT,3,FALSE),"código inválido"))</f>
        <v/>
      </c>
      <c r="I246" s="10" t="n"/>
      <c r="J246" s="16" t="n"/>
      <c r="K246" s="16" t="n"/>
      <c r="L246" s="16" t="n"/>
      <c r="M246" s="16" t="n"/>
      <c r="N246" s="10" t="n"/>
      <c r="O246" s="6">
        <f>IF(G246="","",IFERROR(VLOOKUP(G246,MOT,2,FALSE),"código inválido"))</f>
        <v/>
      </c>
      <c r="P246" s="12">
        <f>IF(ISNUMBER(J246),COUNT(J$6:J246),"")</f>
        <v/>
      </c>
    </row>
    <row r="247">
      <c r="A247" s="13" t="n"/>
      <c r="B247" s="10" t="n"/>
      <c r="C247" s="10" t="n"/>
      <c r="D247" s="14" t="n"/>
      <c r="E247" s="14" t="n"/>
      <c r="F247" s="15">
        <f>IF(AND(ISNUMBER(D247),ISNUMBER(E247)),ROUND(IF(E247&lt;D247,E247+1-D247,E247-D247)*1440,2),IF(ISNUMBER(N247),N247,""))</f>
        <v/>
      </c>
      <c r="G247" s="10" t="n"/>
      <c r="H247" s="6">
        <f>IF(G247="","",IFERROR(VLOOKUP(G247,MOT,3,FALSE),"código inválido"))</f>
        <v/>
      </c>
      <c r="I247" s="10" t="n"/>
      <c r="J247" s="16" t="n"/>
      <c r="K247" s="16" t="n"/>
      <c r="L247" s="16" t="n"/>
      <c r="M247" s="16" t="n"/>
      <c r="N247" s="10" t="n"/>
      <c r="O247" s="6">
        <f>IF(G247="","",IFERROR(VLOOKUP(G247,MOT,2,FALSE),"código inválido"))</f>
        <v/>
      </c>
      <c r="P247" s="12">
        <f>IF(ISNUMBER(J247),COUNT(J$6:J247),"")</f>
        <v/>
      </c>
    </row>
    <row r="248">
      <c r="A248" s="13" t="n"/>
      <c r="B248" s="10" t="n"/>
      <c r="C248" s="10" t="n"/>
      <c r="D248" s="14" t="n"/>
      <c r="E248" s="14" t="n"/>
      <c r="F248" s="15">
        <f>IF(AND(ISNUMBER(D248),ISNUMBER(E248)),ROUND(IF(E248&lt;D248,E248+1-D248,E248-D248)*1440,2),IF(ISNUMBER(N248),N248,""))</f>
        <v/>
      </c>
      <c r="G248" s="10" t="n"/>
      <c r="H248" s="6">
        <f>IF(G248="","",IFERROR(VLOOKUP(G248,MOT,3,FALSE),"código inválido"))</f>
        <v/>
      </c>
      <c r="I248" s="10" t="n"/>
      <c r="J248" s="16" t="n"/>
      <c r="K248" s="16" t="n"/>
      <c r="L248" s="16" t="n"/>
      <c r="M248" s="16" t="n"/>
      <c r="N248" s="10" t="n"/>
      <c r="O248" s="6">
        <f>IF(G248="","",IFERROR(VLOOKUP(G248,MOT,2,FALSE),"código inválido"))</f>
        <v/>
      </c>
      <c r="P248" s="12">
        <f>IF(ISNUMBER(J248),COUNT(J$6:J248),"")</f>
        <v/>
      </c>
    </row>
    <row r="249">
      <c r="A249" s="13" t="n"/>
      <c r="B249" s="10" t="n"/>
      <c r="C249" s="10" t="n"/>
      <c r="D249" s="14" t="n"/>
      <c r="E249" s="14" t="n"/>
      <c r="F249" s="15">
        <f>IF(AND(ISNUMBER(D249),ISNUMBER(E249)),ROUND(IF(E249&lt;D249,E249+1-D249,E249-D249)*1440,2),IF(ISNUMBER(N249),N249,""))</f>
        <v/>
      </c>
      <c r="G249" s="10" t="n"/>
      <c r="H249" s="6">
        <f>IF(G249="","",IFERROR(VLOOKUP(G249,MOT,3,FALSE),"código inválido"))</f>
        <v/>
      </c>
      <c r="I249" s="10" t="n"/>
      <c r="J249" s="16" t="n"/>
      <c r="K249" s="16" t="n"/>
      <c r="L249" s="16" t="n"/>
      <c r="M249" s="16" t="n"/>
      <c r="N249" s="10" t="n"/>
      <c r="O249" s="6">
        <f>IF(G249="","",IFERROR(VLOOKUP(G249,MOT,2,FALSE),"código inválido"))</f>
        <v/>
      </c>
      <c r="P249" s="12">
        <f>IF(ISNUMBER(J249),COUNT(J$6:J249),"")</f>
        <v/>
      </c>
    </row>
    <row r="250">
      <c r="A250" s="13" t="n"/>
      <c r="B250" s="10" t="n"/>
      <c r="C250" s="10" t="n"/>
      <c r="D250" s="14" t="n"/>
      <c r="E250" s="14" t="n"/>
      <c r="F250" s="15">
        <f>IF(AND(ISNUMBER(D250),ISNUMBER(E250)),ROUND(IF(E250&lt;D250,E250+1-D250,E250-D250)*1440,2),IF(ISNUMBER(N250),N250,""))</f>
        <v/>
      </c>
      <c r="G250" s="10" t="n"/>
      <c r="H250" s="6">
        <f>IF(G250="","",IFERROR(VLOOKUP(G250,MOT,3,FALSE),"código inválido"))</f>
        <v/>
      </c>
      <c r="I250" s="10" t="n"/>
      <c r="J250" s="16" t="n"/>
      <c r="K250" s="16" t="n"/>
      <c r="L250" s="16" t="n"/>
      <c r="M250" s="16" t="n"/>
      <c r="N250" s="10" t="n"/>
      <c r="O250" s="6">
        <f>IF(G250="","",IFERROR(VLOOKUP(G250,MOT,2,FALSE),"código inválido"))</f>
        <v/>
      </c>
      <c r="P250" s="12">
        <f>IF(ISNUMBER(J250),COUNT(J$6:J250),"")</f>
        <v/>
      </c>
    </row>
    <row r="251">
      <c r="A251" s="13" t="n"/>
      <c r="B251" s="10" t="n"/>
      <c r="C251" s="10" t="n"/>
      <c r="D251" s="14" t="n"/>
      <c r="E251" s="14" t="n"/>
      <c r="F251" s="15">
        <f>IF(AND(ISNUMBER(D251),ISNUMBER(E251)),ROUND(IF(E251&lt;D251,E251+1-D251,E251-D251)*1440,2),IF(ISNUMBER(N251),N251,""))</f>
        <v/>
      </c>
      <c r="G251" s="10" t="n"/>
      <c r="H251" s="6">
        <f>IF(G251="","",IFERROR(VLOOKUP(G251,MOT,3,FALSE),"código inválido"))</f>
        <v/>
      </c>
      <c r="I251" s="10" t="n"/>
      <c r="J251" s="16" t="n"/>
      <c r="K251" s="16" t="n"/>
      <c r="L251" s="16" t="n"/>
      <c r="M251" s="16" t="n"/>
      <c r="N251" s="10" t="n"/>
      <c r="O251" s="6">
        <f>IF(G251="","",IFERROR(VLOOKUP(G251,MOT,2,FALSE),"código inválido"))</f>
        <v/>
      </c>
      <c r="P251" s="12">
        <f>IF(ISNUMBER(J251),COUNT(J$6:J251),"")</f>
        <v/>
      </c>
    </row>
    <row r="252">
      <c r="A252" s="13" t="n"/>
      <c r="B252" s="10" t="n"/>
      <c r="C252" s="10" t="n"/>
      <c r="D252" s="14" t="n"/>
      <c r="E252" s="14" t="n"/>
      <c r="F252" s="15">
        <f>IF(AND(ISNUMBER(D252),ISNUMBER(E252)),ROUND(IF(E252&lt;D252,E252+1-D252,E252-D252)*1440,2),IF(ISNUMBER(N252),N252,""))</f>
        <v/>
      </c>
      <c r="G252" s="10" t="n"/>
      <c r="H252" s="6">
        <f>IF(G252="","",IFERROR(VLOOKUP(G252,MOT,3,FALSE),"código inválido"))</f>
        <v/>
      </c>
      <c r="I252" s="10" t="n"/>
      <c r="J252" s="16" t="n"/>
      <c r="K252" s="16" t="n"/>
      <c r="L252" s="16" t="n"/>
      <c r="M252" s="16" t="n"/>
      <c r="N252" s="10" t="n"/>
      <c r="O252" s="6">
        <f>IF(G252="","",IFERROR(VLOOKUP(G252,MOT,2,FALSE),"código inválido"))</f>
        <v/>
      </c>
      <c r="P252" s="12">
        <f>IF(ISNUMBER(J252),COUNT(J$6:J252),"")</f>
        <v/>
      </c>
    </row>
    <row r="253">
      <c r="A253" s="13" t="n"/>
      <c r="B253" s="10" t="n"/>
      <c r="C253" s="10" t="n"/>
      <c r="D253" s="14" t="n"/>
      <c r="E253" s="14" t="n"/>
      <c r="F253" s="15">
        <f>IF(AND(ISNUMBER(D253),ISNUMBER(E253)),ROUND(IF(E253&lt;D253,E253+1-D253,E253-D253)*1440,2),IF(ISNUMBER(N253),N253,""))</f>
        <v/>
      </c>
      <c r="G253" s="10" t="n"/>
      <c r="H253" s="6">
        <f>IF(G253="","",IFERROR(VLOOKUP(G253,MOT,3,FALSE),"código inválido"))</f>
        <v/>
      </c>
      <c r="I253" s="10" t="n"/>
      <c r="J253" s="16" t="n"/>
      <c r="K253" s="16" t="n"/>
      <c r="L253" s="16" t="n"/>
      <c r="M253" s="16" t="n"/>
      <c r="N253" s="10" t="n"/>
      <c r="O253" s="6">
        <f>IF(G253="","",IFERROR(VLOOKUP(G253,MOT,2,FALSE),"código inválido"))</f>
        <v/>
      </c>
      <c r="P253" s="12">
        <f>IF(ISNUMBER(J253),COUNT(J$6:J253),"")</f>
        <v/>
      </c>
    </row>
    <row r="254">
      <c r="A254" s="13" t="n"/>
      <c r="B254" s="10" t="n"/>
      <c r="C254" s="10" t="n"/>
      <c r="D254" s="14" t="n"/>
      <c r="E254" s="14" t="n"/>
      <c r="F254" s="15">
        <f>IF(AND(ISNUMBER(D254),ISNUMBER(E254)),ROUND(IF(E254&lt;D254,E254+1-D254,E254-D254)*1440,2),IF(ISNUMBER(N254),N254,""))</f>
        <v/>
      </c>
      <c r="G254" s="10" t="n"/>
      <c r="H254" s="6">
        <f>IF(G254="","",IFERROR(VLOOKUP(G254,MOT,3,FALSE),"código inválido"))</f>
        <v/>
      </c>
      <c r="I254" s="10" t="n"/>
      <c r="J254" s="16" t="n"/>
      <c r="K254" s="16" t="n"/>
      <c r="L254" s="16" t="n"/>
      <c r="M254" s="16" t="n"/>
      <c r="N254" s="10" t="n"/>
      <c r="O254" s="6">
        <f>IF(G254="","",IFERROR(VLOOKUP(G254,MOT,2,FALSE),"código inválido"))</f>
        <v/>
      </c>
      <c r="P254" s="12">
        <f>IF(ISNUMBER(J254),COUNT(J$6:J254),"")</f>
        <v/>
      </c>
    </row>
    <row r="255">
      <c r="A255" s="13" t="n"/>
      <c r="B255" s="10" t="n"/>
      <c r="C255" s="10" t="n"/>
      <c r="D255" s="14" t="n"/>
      <c r="E255" s="14" t="n"/>
      <c r="F255" s="15">
        <f>IF(AND(ISNUMBER(D255),ISNUMBER(E255)),ROUND(IF(E255&lt;D255,E255+1-D255,E255-D255)*1440,2),IF(ISNUMBER(N255),N255,""))</f>
        <v/>
      </c>
      <c r="G255" s="10" t="n"/>
      <c r="H255" s="6">
        <f>IF(G255="","",IFERROR(VLOOKUP(G255,MOT,3,FALSE),"código inválido"))</f>
        <v/>
      </c>
      <c r="I255" s="10" t="n"/>
      <c r="J255" s="16" t="n"/>
      <c r="K255" s="16" t="n"/>
      <c r="L255" s="16" t="n"/>
      <c r="M255" s="16" t="n"/>
      <c r="N255" s="10" t="n"/>
      <c r="O255" s="6">
        <f>IF(G255="","",IFERROR(VLOOKUP(G255,MOT,2,FALSE),"código inválido"))</f>
        <v/>
      </c>
      <c r="P255" s="12">
        <f>IF(ISNUMBER(J255),COUNT(J$6:J255),"")</f>
        <v/>
      </c>
    </row>
    <row r="256">
      <c r="A256" s="13" t="n"/>
      <c r="B256" s="10" t="n"/>
      <c r="C256" s="10" t="n"/>
      <c r="D256" s="14" t="n"/>
      <c r="E256" s="14" t="n"/>
      <c r="F256" s="15">
        <f>IF(AND(ISNUMBER(D256),ISNUMBER(E256)),ROUND(IF(E256&lt;D256,E256+1-D256,E256-D256)*1440,2),IF(ISNUMBER(N256),N256,""))</f>
        <v/>
      </c>
      <c r="G256" s="10" t="n"/>
      <c r="H256" s="6">
        <f>IF(G256="","",IFERROR(VLOOKUP(G256,MOT,3,FALSE),"código inválido"))</f>
        <v/>
      </c>
      <c r="I256" s="10" t="n"/>
      <c r="J256" s="16" t="n"/>
      <c r="K256" s="16" t="n"/>
      <c r="L256" s="16" t="n"/>
      <c r="M256" s="16" t="n"/>
      <c r="N256" s="10" t="n"/>
      <c r="O256" s="6">
        <f>IF(G256="","",IFERROR(VLOOKUP(G256,MOT,2,FALSE),"código inválido"))</f>
        <v/>
      </c>
      <c r="P256" s="12">
        <f>IF(ISNUMBER(J256),COUNT(J$6:J256),"")</f>
        <v/>
      </c>
    </row>
    <row r="257">
      <c r="A257" s="13" t="n"/>
      <c r="B257" s="10" t="n"/>
      <c r="C257" s="10" t="n"/>
      <c r="D257" s="14" t="n"/>
      <c r="E257" s="14" t="n"/>
      <c r="F257" s="15">
        <f>IF(AND(ISNUMBER(D257),ISNUMBER(E257)),ROUND(IF(E257&lt;D257,E257+1-D257,E257-D257)*1440,2),IF(ISNUMBER(N257),N257,""))</f>
        <v/>
      </c>
      <c r="G257" s="10" t="n"/>
      <c r="H257" s="6">
        <f>IF(G257="","",IFERROR(VLOOKUP(G257,MOT,3,FALSE),"código inválido"))</f>
        <v/>
      </c>
      <c r="I257" s="10" t="n"/>
      <c r="J257" s="16" t="n"/>
      <c r="K257" s="16" t="n"/>
      <c r="L257" s="16" t="n"/>
      <c r="M257" s="16" t="n"/>
      <c r="N257" s="10" t="n"/>
      <c r="O257" s="6">
        <f>IF(G257="","",IFERROR(VLOOKUP(G257,MOT,2,FALSE),"código inválido"))</f>
        <v/>
      </c>
      <c r="P257" s="12">
        <f>IF(ISNUMBER(J257),COUNT(J$6:J257),"")</f>
        <v/>
      </c>
    </row>
    <row r="258">
      <c r="A258" s="13" t="n"/>
      <c r="B258" s="10" t="n"/>
      <c r="C258" s="10" t="n"/>
      <c r="D258" s="14" t="n"/>
      <c r="E258" s="14" t="n"/>
      <c r="F258" s="15">
        <f>IF(AND(ISNUMBER(D258),ISNUMBER(E258)),ROUND(IF(E258&lt;D258,E258+1-D258,E258-D258)*1440,2),IF(ISNUMBER(N258),N258,""))</f>
        <v/>
      </c>
      <c r="G258" s="10" t="n"/>
      <c r="H258" s="6">
        <f>IF(G258="","",IFERROR(VLOOKUP(G258,MOT,3,FALSE),"código inválido"))</f>
        <v/>
      </c>
      <c r="I258" s="10" t="n"/>
      <c r="J258" s="16" t="n"/>
      <c r="K258" s="16" t="n"/>
      <c r="L258" s="16" t="n"/>
      <c r="M258" s="16" t="n"/>
      <c r="N258" s="10" t="n"/>
      <c r="O258" s="6">
        <f>IF(G258="","",IFERROR(VLOOKUP(G258,MOT,2,FALSE),"código inválido"))</f>
        <v/>
      </c>
      <c r="P258" s="12">
        <f>IF(ISNUMBER(J258),COUNT(J$6:J258),"")</f>
        <v/>
      </c>
    </row>
    <row r="259">
      <c r="A259" s="13" t="n"/>
      <c r="B259" s="10" t="n"/>
      <c r="C259" s="10" t="n"/>
      <c r="D259" s="14" t="n"/>
      <c r="E259" s="14" t="n"/>
      <c r="F259" s="15">
        <f>IF(AND(ISNUMBER(D259),ISNUMBER(E259)),ROUND(IF(E259&lt;D259,E259+1-D259,E259-D259)*1440,2),IF(ISNUMBER(N259),N259,""))</f>
        <v/>
      </c>
      <c r="G259" s="10" t="n"/>
      <c r="H259" s="6">
        <f>IF(G259="","",IFERROR(VLOOKUP(G259,MOT,3,FALSE),"código inválido"))</f>
        <v/>
      </c>
      <c r="I259" s="10" t="n"/>
      <c r="J259" s="16" t="n"/>
      <c r="K259" s="16" t="n"/>
      <c r="L259" s="16" t="n"/>
      <c r="M259" s="16" t="n"/>
      <c r="N259" s="10" t="n"/>
      <c r="O259" s="6">
        <f>IF(G259="","",IFERROR(VLOOKUP(G259,MOT,2,FALSE),"código inválido"))</f>
        <v/>
      </c>
      <c r="P259" s="12">
        <f>IF(ISNUMBER(J259),COUNT(J$6:J259),"")</f>
        <v/>
      </c>
    </row>
    <row r="260">
      <c r="A260" s="13" t="n"/>
      <c r="B260" s="10" t="n"/>
      <c r="C260" s="10" t="n"/>
      <c r="D260" s="14" t="n"/>
      <c r="E260" s="14" t="n"/>
      <c r="F260" s="15">
        <f>IF(AND(ISNUMBER(D260),ISNUMBER(E260)),ROUND(IF(E260&lt;D260,E260+1-D260,E260-D260)*1440,2),IF(ISNUMBER(N260),N260,""))</f>
        <v/>
      </c>
      <c r="G260" s="10" t="n"/>
      <c r="H260" s="6">
        <f>IF(G260="","",IFERROR(VLOOKUP(G260,MOT,3,FALSE),"código inválido"))</f>
        <v/>
      </c>
      <c r="I260" s="10" t="n"/>
      <c r="J260" s="16" t="n"/>
      <c r="K260" s="16" t="n"/>
      <c r="L260" s="16" t="n"/>
      <c r="M260" s="16" t="n"/>
      <c r="N260" s="10" t="n"/>
      <c r="O260" s="6">
        <f>IF(G260="","",IFERROR(VLOOKUP(G260,MOT,2,FALSE),"código inválido"))</f>
        <v/>
      </c>
      <c r="P260" s="12">
        <f>IF(ISNUMBER(J260),COUNT(J$6:J260),"")</f>
        <v/>
      </c>
    </row>
    <row r="261">
      <c r="A261" s="13" t="n"/>
      <c r="B261" s="10" t="n"/>
      <c r="C261" s="10" t="n"/>
      <c r="D261" s="14" t="n"/>
      <c r="E261" s="14" t="n"/>
      <c r="F261" s="15">
        <f>IF(AND(ISNUMBER(D261),ISNUMBER(E261)),ROUND(IF(E261&lt;D261,E261+1-D261,E261-D261)*1440,2),IF(ISNUMBER(N261),N261,""))</f>
        <v/>
      </c>
      <c r="G261" s="10" t="n"/>
      <c r="H261" s="6">
        <f>IF(G261="","",IFERROR(VLOOKUP(G261,MOT,3,FALSE),"código inválido"))</f>
        <v/>
      </c>
      <c r="I261" s="10" t="n"/>
      <c r="J261" s="16" t="n"/>
      <c r="K261" s="16" t="n"/>
      <c r="L261" s="16" t="n"/>
      <c r="M261" s="16" t="n"/>
      <c r="N261" s="10" t="n"/>
      <c r="O261" s="6">
        <f>IF(G261="","",IFERROR(VLOOKUP(G261,MOT,2,FALSE),"código inválido"))</f>
        <v/>
      </c>
      <c r="P261" s="12">
        <f>IF(ISNUMBER(J261),COUNT(J$6:J261),"")</f>
        <v/>
      </c>
    </row>
    <row r="262">
      <c r="A262" s="13" t="n"/>
      <c r="B262" s="10" t="n"/>
      <c r="C262" s="10" t="n"/>
      <c r="D262" s="14" t="n"/>
      <c r="E262" s="14" t="n"/>
      <c r="F262" s="15">
        <f>IF(AND(ISNUMBER(D262),ISNUMBER(E262)),ROUND(IF(E262&lt;D262,E262+1-D262,E262-D262)*1440,2),IF(ISNUMBER(N262),N262,""))</f>
        <v/>
      </c>
      <c r="G262" s="10" t="n"/>
      <c r="H262" s="6">
        <f>IF(G262="","",IFERROR(VLOOKUP(G262,MOT,3,FALSE),"código inválido"))</f>
        <v/>
      </c>
      <c r="I262" s="10" t="n"/>
      <c r="J262" s="16" t="n"/>
      <c r="K262" s="16" t="n"/>
      <c r="L262" s="16" t="n"/>
      <c r="M262" s="16" t="n"/>
      <c r="N262" s="10" t="n"/>
      <c r="O262" s="6">
        <f>IF(G262="","",IFERROR(VLOOKUP(G262,MOT,2,FALSE),"código inválido"))</f>
        <v/>
      </c>
      <c r="P262" s="12">
        <f>IF(ISNUMBER(J262),COUNT(J$6:J262),"")</f>
        <v/>
      </c>
    </row>
    <row r="263">
      <c r="A263" s="13" t="n"/>
      <c r="B263" s="10" t="n"/>
      <c r="C263" s="10" t="n"/>
      <c r="D263" s="14" t="n"/>
      <c r="E263" s="14" t="n"/>
      <c r="F263" s="15">
        <f>IF(AND(ISNUMBER(D263),ISNUMBER(E263)),ROUND(IF(E263&lt;D263,E263+1-D263,E263-D263)*1440,2),IF(ISNUMBER(N263),N263,""))</f>
        <v/>
      </c>
      <c r="G263" s="10" t="n"/>
      <c r="H263" s="6">
        <f>IF(G263="","",IFERROR(VLOOKUP(G263,MOT,3,FALSE),"código inválido"))</f>
        <v/>
      </c>
      <c r="I263" s="10" t="n"/>
      <c r="J263" s="16" t="n"/>
      <c r="K263" s="16" t="n"/>
      <c r="L263" s="16" t="n"/>
      <c r="M263" s="16" t="n"/>
      <c r="N263" s="10" t="n"/>
      <c r="O263" s="6">
        <f>IF(G263="","",IFERROR(VLOOKUP(G263,MOT,2,FALSE),"código inválido"))</f>
        <v/>
      </c>
      <c r="P263" s="12">
        <f>IF(ISNUMBER(J263),COUNT(J$6:J263),"")</f>
        <v/>
      </c>
    </row>
    <row r="264">
      <c r="A264" s="13" t="n"/>
      <c r="B264" s="10" t="n"/>
      <c r="C264" s="10" t="n"/>
      <c r="D264" s="14" t="n"/>
      <c r="E264" s="14" t="n"/>
      <c r="F264" s="15">
        <f>IF(AND(ISNUMBER(D264),ISNUMBER(E264)),ROUND(IF(E264&lt;D264,E264+1-D264,E264-D264)*1440,2),IF(ISNUMBER(N264),N264,""))</f>
        <v/>
      </c>
      <c r="G264" s="10" t="n"/>
      <c r="H264" s="6">
        <f>IF(G264="","",IFERROR(VLOOKUP(G264,MOT,3,FALSE),"código inválido"))</f>
        <v/>
      </c>
      <c r="I264" s="10" t="n"/>
      <c r="J264" s="16" t="n"/>
      <c r="K264" s="16" t="n"/>
      <c r="L264" s="16" t="n"/>
      <c r="M264" s="16" t="n"/>
      <c r="N264" s="10" t="n"/>
      <c r="O264" s="6">
        <f>IF(G264="","",IFERROR(VLOOKUP(G264,MOT,2,FALSE),"código inválido"))</f>
        <v/>
      </c>
      <c r="P264" s="12">
        <f>IF(ISNUMBER(J264),COUNT(J$6:J264),"")</f>
        <v/>
      </c>
    </row>
    <row r="265">
      <c r="A265" s="13" t="n"/>
      <c r="B265" s="10" t="n"/>
      <c r="C265" s="10" t="n"/>
      <c r="D265" s="14" t="n"/>
      <c r="E265" s="14" t="n"/>
      <c r="F265" s="15">
        <f>IF(AND(ISNUMBER(D265),ISNUMBER(E265)),ROUND(IF(E265&lt;D265,E265+1-D265,E265-D265)*1440,2),IF(ISNUMBER(N265),N265,""))</f>
        <v/>
      </c>
      <c r="G265" s="10" t="n"/>
      <c r="H265" s="6">
        <f>IF(G265="","",IFERROR(VLOOKUP(G265,MOT,3,FALSE),"código inválido"))</f>
        <v/>
      </c>
      <c r="I265" s="10" t="n"/>
      <c r="J265" s="16" t="n"/>
      <c r="K265" s="16" t="n"/>
      <c r="L265" s="16" t="n"/>
      <c r="M265" s="16" t="n"/>
      <c r="N265" s="10" t="n"/>
      <c r="O265" s="6">
        <f>IF(G265="","",IFERROR(VLOOKUP(G265,MOT,2,FALSE),"código inválido"))</f>
        <v/>
      </c>
      <c r="P265" s="12">
        <f>IF(ISNUMBER(J265),COUNT(J$6:J265),"")</f>
        <v/>
      </c>
    </row>
    <row r="266">
      <c r="A266" s="13" t="n"/>
      <c r="B266" s="10" t="n"/>
      <c r="C266" s="10" t="n"/>
      <c r="D266" s="14" t="n"/>
      <c r="E266" s="14" t="n"/>
      <c r="F266" s="15">
        <f>IF(AND(ISNUMBER(D266),ISNUMBER(E266)),ROUND(IF(E266&lt;D266,E266+1-D266,E266-D266)*1440,2),IF(ISNUMBER(N266),N266,""))</f>
        <v/>
      </c>
      <c r="G266" s="10" t="n"/>
      <c r="H266" s="6">
        <f>IF(G266="","",IFERROR(VLOOKUP(G266,MOT,3,FALSE),"código inválido"))</f>
        <v/>
      </c>
      <c r="I266" s="10" t="n"/>
      <c r="J266" s="16" t="n"/>
      <c r="K266" s="16" t="n"/>
      <c r="L266" s="16" t="n"/>
      <c r="M266" s="16" t="n"/>
      <c r="N266" s="10" t="n"/>
      <c r="O266" s="6">
        <f>IF(G266="","",IFERROR(VLOOKUP(G266,MOT,2,FALSE),"código inválido"))</f>
        <v/>
      </c>
      <c r="P266" s="12">
        <f>IF(ISNUMBER(J266),COUNT(J$6:J266),"")</f>
        <v/>
      </c>
    </row>
    <row r="267">
      <c r="A267" s="13" t="n"/>
      <c r="B267" s="10" t="n"/>
      <c r="C267" s="10" t="n"/>
      <c r="D267" s="14" t="n"/>
      <c r="E267" s="14" t="n"/>
      <c r="F267" s="15">
        <f>IF(AND(ISNUMBER(D267),ISNUMBER(E267)),ROUND(IF(E267&lt;D267,E267+1-D267,E267-D267)*1440,2),IF(ISNUMBER(N267),N267,""))</f>
        <v/>
      </c>
      <c r="G267" s="10" t="n"/>
      <c r="H267" s="6">
        <f>IF(G267="","",IFERROR(VLOOKUP(G267,MOT,3,FALSE),"código inválido"))</f>
        <v/>
      </c>
      <c r="I267" s="10" t="n"/>
      <c r="J267" s="16" t="n"/>
      <c r="K267" s="16" t="n"/>
      <c r="L267" s="16" t="n"/>
      <c r="M267" s="16" t="n"/>
      <c r="N267" s="10" t="n"/>
      <c r="O267" s="6">
        <f>IF(G267="","",IFERROR(VLOOKUP(G267,MOT,2,FALSE),"código inválido"))</f>
        <v/>
      </c>
      <c r="P267" s="12">
        <f>IF(ISNUMBER(J267),COUNT(J$6:J267),"")</f>
        <v/>
      </c>
    </row>
    <row r="268">
      <c r="A268" s="13" t="n"/>
      <c r="B268" s="10" t="n"/>
      <c r="C268" s="10" t="n"/>
      <c r="D268" s="14" t="n"/>
      <c r="E268" s="14" t="n"/>
      <c r="F268" s="15">
        <f>IF(AND(ISNUMBER(D268),ISNUMBER(E268)),ROUND(IF(E268&lt;D268,E268+1-D268,E268-D268)*1440,2),IF(ISNUMBER(N268),N268,""))</f>
        <v/>
      </c>
      <c r="G268" s="10" t="n"/>
      <c r="H268" s="6">
        <f>IF(G268="","",IFERROR(VLOOKUP(G268,MOT,3,FALSE),"código inválido"))</f>
        <v/>
      </c>
      <c r="I268" s="10" t="n"/>
      <c r="J268" s="16" t="n"/>
      <c r="K268" s="16" t="n"/>
      <c r="L268" s="16" t="n"/>
      <c r="M268" s="16" t="n"/>
      <c r="N268" s="10" t="n"/>
      <c r="O268" s="6">
        <f>IF(G268="","",IFERROR(VLOOKUP(G268,MOT,2,FALSE),"código inválido"))</f>
        <v/>
      </c>
      <c r="P268" s="12">
        <f>IF(ISNUMBER(J268),COUNT(J$6:J268),"")</f>
        <v/>
      </c>
    </row>
    <row r="269">
      <c r="A269" s="13" t="n"/>
      <c r="B269" s="10" t="n"/>
      <c r="C269" s="10" t="n"/>
      <c r="D269" s="14" t="n"/>
      <c r="E269" s="14" t="n"/>
      <c r="F269" s="15">
        <f>IF(AND(ISNUMBER(D269),ISNUMBER(E269)),ROUND(IF(E269&lt;D269,E269+1-D269,E269-D269)*1440,2),IF(ISNUMBER(N269),N269,""))</f>
        <v/>
      </c>
      <c r="G269" s="10" t="n"/>
      <c r="H269" s="6">
        <f>IF(G269="","",IFERROR(VLOOKUP(G269,MOT,3,FALSE),"código inválido"))</f>
        <v/>
      </c>
      <c r="I269" s="10" t="n"/>
      <c r="J269" s="16" t="n"/>
      <c r="K269" s="16" t="n"/>
      <c r="L269" s="16" t="n"/>
      <c r="M269" s="16" t="n"/>
      <c r="N269" s="10" t="n"/>
      <c r="O269" s="6">
        <f>IF(G269="","",IFERROR(VLOOKUP(G269,MOT,2,FALSE),"código inválido"))</f>
        <v/>
      </c>
      <c r="P269" s="12">
        <f>IF(ISNUMBER(J269),COUNT(J$6:J269),"")</f>
        <v/>
      </c>
    </row>
    <row r="270">
      <c r="A270" s="13" t="n"/>
      <c r="B270" s="10" t="n"/>
      <c r="C270" s="10" t="n"/>
      <c r="D270" s="14" t="n"/>
      <c r="E270" s="14" t="n"/>
      <c r="F270" s="15">
        <f>IF(AND(ISNUMBER(D270),ISNUMBER(E270)),ROUND(IF(E270&lt;D270,E270+1-D270,E270-D270)*1440,2),IF(ISNUMBER(N270),N270,""))</f>
        <v/>
      </c>
      <c r="G270" s="10" t="n"/>
      <c r="H270" s="6">
        <f>IF(G270="","",IFERROR(VLOOKUP(G270,MOT,3,FALSE),"código inválido"))</f>
        <v/>
      </c>
      <c r="I270" s="10" t="n"/>
      <c r="J270" s="16" t="n"/>
      <c r="K270" s="16" t="n"/>
      <c r="L270" s="16" t="n"/>
      <c r="M270" s="16" t="n"/>
      <c r="N270" s="10" t="n"/>
      <c r="O270" s="6">
        <f>IF(G270="","",IFERROR(VLOOKUP(G270,MOT,2,FALSE),"código inválido"))</f>
        <v/>
      </c>
      <c r="P270" s="12">
        <f>IF(ISNUMBER(J270),COUNT(J$6:J270),"")</f>
        <v/>
      </c>
    </row>
    <row r="271">
      <c r="A271" s="13" t="n"/>
      <c r="B271" s="10" t="n"/>
      <c r="C271" s="10" t="n"/>
      <c r="D271" s="14" t="n"/>
      <c r="E271" s="14" t="n"/>
      <c r="F271" s="15">
        <f>IF(AND(ISNUMBER(D271),ISNUMBER(E271)),ROUND(IF(E271&lt;D271,E271+1-D271,E271-D271)*1440,2),IF(ISNUMBER(N271),N271,""))</f>
        <v/>
      </c>
      <c r="G271" s="10" t="n"/>
      <c r="H271" s="6">
        <f>IF(G271="","",IFERROR(VLOOKUP(G271,MOT,3,FALSE),"código inválido"))</f>
        <v/>
      </c>
      <c r="I271" s="10" t="n"/>
      <c r="J271" s="16" t="n"/>
      <c r="K271" s="16" t="n"/>
      <c r="L271" s="16" t="n"/>
      <c r="M271" s="16" t="n"/>
      <c r="N271" s="10" t="n"/>
      <c r="O271" s="6">
        <f>IF(G271="","",IFERROR(VLOOKUP(G271,MOT,2,FALSE),"código inválido"))</f>
        <v/>
      </c>
      <c r="P271" s="12">
        <f>IF(ISNUMBER(J271),COUNT(J$6:J271),"")</f>
        <v/>
      </c>
    </row>
    <row r="272">
      <c r="A272" s="13" t="n"/>
      <c r="B272" s="10" t="n"/>
      <c r="C272" s="10" t="n"/>
      <c r="D272" s="14" t="n"/>
      <c r="E272" s="14" t="n"/>
      <c r="F272" s="15">
        <f>IF(AND(ISNUMBER(D272),ISNUMBER(E272)),ROUND(IF(E272&lt;D272,E272+1-D272,E272-D272)*1440,2),IF(ISNUMBER(N272),N272,""))</f>
        <v/>
      </c>
      <c r="G272" s="10" t="n"/>
      <c r="H272" s="6">
        <f>IF(G272="","",IFERROR(VLOOKUP(G272,MOT,3,FALSE),"código inválido"))</f>
        <v/>
      </c>
      <c r="I272" s="10" t="n"/>
      <c r="J272" s="16" t="n"/>
      <c r="K272" s="16" t="n"/>
      <c r="L272" s="16" t="n"/>
      <c r="M272" s="16" t="n"/>
      <c r="N272" s="10" t="n"/>
      <c r="O272" s="6">
        <f>IF(G272="","",IFERROR(VLOOKUP(G272,MOT,2,FALSE),"código inválido"))</f>
        <v/>
      </c>
      <c r="P272" s="12">
        <f>IF(ISNUMBER(J272),COUNT(J$6:J272),"")</f>
        <v/>
      </c>
    </row>
    <row r="273">
      <c r="A273" s="13" t="n"/>
      <c r="B273" s="10" t="n"/>
      <c r="C273" s="10" t="n"/>
      <c r="D273" s="14" t="n"/>
      <c r="E273" s="14" t="n"/>
      <c r="F273" s="15">
        <f>IF(AND(ISNUMBER(D273),ISNUMBER(E273)),ROUND(IF(E273&lt;D273,E273+1-D273,E273-D273)*1440,2),IF(ISNUMBER(N273),N273,""))</f>
        <v/>
      </c>
      <c r="G273" s="10" t="n"/>
      <c r="H273" s="6">
        <f>IF(G273="","",IFERROR(VLOOKUP(G273,MOT,3,FALSE),"código inválido"))</f>
        <v/>
      </c>
      <c r="I273" s="10" t="n"/>
      <c r="J273" s="16" t="n"/>
      <c r="K273" s="16" t="n"/>
      <c r="L273" s="16" t="n"/>
      <c r="M273" s="16" t="n"/>
      <c r="N273" s="10" t="n"/>
      <c r="O273" s="6">
        <f>IF(G273="","",IFERROR(VLOOKUP(G273,MOT,2,FALSE),"código inválido"))</f>
        <v/>
      </c>
      <c r="P273" s="12">
        <f>IF(ISNUMBER(J273),COUNT(J$6:J273),"")</f>
        <v/>
      </c>
    </row>
    <row r="274">
      <c r="A274" s="13" t="n"/>
      <c r="B274" s="10" t="n"/>
      <c r="C274" s="10" t="n"/>
      <c r="D274" s="14" t="n"/>
      <c r="E274" s="14" t="n"/>
      <c r="F274" s="15">
        <f>IF(AND(ISNUMBER(D274),ISNUMBER(E274)),ROUND(IF(E274&lt;D274,E274+1-D274,E274-D274)*1440,2),IF(ISNUMBER(N274),N274,""))</f>
        <v/>
      </c>
      <c r="G274" s="10" t="n"/>
      <c r="H274" s="6">
        <f>IF(G274="","",IFERROR(VLOOKUP(G274,MOT,3,FALSE),"código inválido"))</f>
        <v/>
      </c>
      <c r="I274" s="10" t="n"/>
      <c r="J274" s="16" t="n"/>
      <c r="K274" s="16" t="n"/>
      <c r="L274" s="16" t="n"/>
      <c r="M274" s="16" t="n"/>
      <c r="N274" s="10" t="n"/>
      <c r="O274" s="6">
        <f>IF(G274="","",IFERROR(VLOOKUP(G274,MOT,2,FALSE),"código inválido"))</f>
        <v/>
      </c>
      <c r="P274" s="12">
        <f>IF(ISNUMBER(J274),COUNT(J$6:J274),"")</f>
        <v/>
      </c>
    </row>
    <row r="275">
      <c r="A275" s="13" t="n"/>
      <c r="B275" s="10" t="n"/>
      <c r="C275" s="10" t="n"/>
      <c r="D275" s="14" t="n"/>
      <c r="E275" s="14" t="n"/>
      <c r="F275" s="15">
        <f>IF(AND(ISNUMBER(D275),ISNUMBER(E275)),ROUND(IF(E275&lt;D275,E275+1-D275,E275-D275)*1440,2),IF(ISNUMBER(N275),N275,""))</f>
        <v/>
      </c>
      <c r="G275" s="10" t="n"/>
      <c r="H275" s="6">
        <f>IF(G275="","",IFERROR(VLOOKUP(G275,MOT,3,FALSE),"código inválido"))</f>
        <v/>
      </c>
      <c r="I275" s="10" t="n"/>
      <c r="J275" s="16" t="n"/>
      <c r="K275" s="16" t="n"/>
      <c r="L275" s="16" t="n"/>
      <c r="M275" s="16" t="n"/>
      <c r="N275" s="10" t="n"/>
      <c r="O275" s="6">
        <f>IF(G275="","",IFERROR(VLOOKUP(G275,MOT,2,FALSE),"código inválido"))</f>
        <v/>
      </c>
      <c r="P275" s="12">
        <f>IF(ISNUMBER(J275),COUNT(J$6:J275),"")</f>
        <v/>
      </c>
    </row>
    <row r="276">
      <c r="A276" s="13" t="n"/>
      <c r="B276" s="10" t="n"/>
      <c r="C276" s="10" t="n"/>
      <c r="D276" s="14" t="n"/>
      <c r="E276" s="14" t="n"/>
      <c r="F276" s="15">
        <f>IF(AND(ISNUMBER(D276),ISNUMBER(E276)),ROUND(IF(E276&lt;D276,E276+1-D276,E276-D276)*1440,2),IF(ISNUMBER(N276),N276,""))</f>
        <v/>
      </c>
      <c r="G276" s="10" t="n"/>
      <c r="H276" s="6">
        <f>IF(G276="","",IFERROR(VLOOKUP(G276,MOT,3,FALSE),"código inválido"))</f>
        <v/>
      </c>
      <c r="I276" s="10" t="n"/>
      <c r="J276" s="16" t="n"/>
      <c r="K276" s="16" t="n"/>
      <c r="L276" s="16" t="n"/>
      <c r="M276" s="16" t="n"/>
      <c r="N276" s="10" t="n"/>
      <c r="O276" s="6">
        <f>IF(G276="","",IFERROR(VLOOKUP(G276,MOT,2,FALSE),"código inválido"))</f>
        <v/>
      </c>
      <c r="P276" s="12">
        <f>IF(ISNUMBER(J276),COUNT(J$6:J276),"")</f>
        <v/>
      </c>
    </row>
    <row r="277">
      <c r="A277" s="13" t="n"/>
      <c r="B277" s="10" t="n"/>
      <c r="C277" s="10" t="n"/>
      <c r="D277" s="14" t="n"/>
      <c r="E277" s="14" t="n"/>
      <c r="F277" s="15">
        <f>IF(AND(ISNUMBER(D277),ISNUMBER(E277)),ROUND(IF(E277&lt;D277,E277+1-D277,E277-D277)*1440,2),IF(ISNUMBER(N277),N277,""))</f>
        <v/>
      </c>
      <c r="G277" s="10" t="n"/>
      <c r="H277" s="6">
        <f>IF(G277="","",IFERROR(VLOOKUP(G277,MOT,3,FALSE),"código inválido"))</f>
        <v/>
      </c>
      <c r="I277" s="10" t="n"/>
      <c r="J277" s="16" t="n"/>
      <c r="K277" s="16" t="n"/>
      <c r="L277" s="16" t="n"/>
      <c r="M277" s="16" t="n"/>
      <c r="N277" s="10" t="n"/>
      <c r="O277" s="6">
        <f>IF(G277="","",IFERROR(VLOOKUP(G277,MOT,2,FALSE),"código inválido"))</f>
        <v/>
      </c>
      <c r="P277" s="12">
        <f>IF(ISNUMBER(J277),COUNT(J$6:J277),"")</f>
        <v/>
      </c>
    </row>
    <row r="278">
      <c r="A278" s="13" t="n"/>
      <c r="B278" s="10" t="n"/>
      <c r="C278" s="10" t="n"/>
      <c r="D278" s="14" t="n"/>
      <c r="E278" s="14" t="n"/>
      <c r="F278" s="15">
        <f>IF(AND(ISNUMBER(D278),ISNUMBER(E278)),ROUND(IF(E278&lt;D278,E278+1-D278,E278-D278)*1440,2),IF(ISNUMBER(N278),N278,""))</f>
        <v/>
      </c>
      <c r="G278" s="10" t="n"/>
      <c r="H278" s="6">
        <f>IF(G278="","",IFERROR(VLOOKUP(G278,MOT,3,FALSE),"código inválido"))</f>
        <v/>
      </c>
      <c r="I278" s="10" t="n"/>
      <c r="J278" s="16" t="n"/>
      <c r="K278" s="16" t="n"/>
      <c r="L278" s="16" t="n"/>
      <c r="M278" s="16" t="n"/>
      <c r="N278" s="10" t="n"/>
      <c r="O278" s="6">
        <f>IF(G278="","",IFERROR(VLOOKUP(G278,MOT,2,FALSE),"código inválido"))</f>
        <v/>
      </c>
      <c r="P278" s="12">
        <f>IF(ISNUMBER(J278),COUNT(J$6:J278),"")</f>
        <v/>
      </c>
    </row>
    <row r="279">
      <c r="A279" s="13" t="n"/>
      <c r="B279" s="10" t="n"/>
      <c r="C279" s="10" t="n"/>
      <c r="D279" s="14" t="n"/>
      <c r="E279" s="14" t="n"/>
      <c r="F279" s="15">
        <f>IF(AND(ISNUMBER(D279),ISNUMBER(E279)),ROUND(IF(E279&lt;D279,E279+1-D279,E279-D279)*1440,2),IF(ISNUMBER(N279),N279,""))</f>
        <v/>
      </c>
      <c r="G279" s="10" t="n"/>
      <c r="H279" s="6">
        <f>IF(G279="","",IFERROR(VLOOKUP(G279,MOT,3,FALSE),"código inválido"))</f>
        <v/>
      </c>
      <c r="I279" s="10" t="n"/>
      <c r="J279" s="16" t="n"/>
      <c r="K279" s="16" t="n"/>
      <c r="L279" s="16" t="n"/>
      <c r="M279" s="16" t="n"/>
      <c r="N279" s="10" t="n"/>
      <c r="O279" s="6">
        <f>IF(G279="","",IFERROR(VLOOKUP(G279,MOT,2,FALSE),"código inválido"))</f>
        <v/>
      </c>
      <c r="P279" s="12">
        <f>IF(ISNUMBER(J279),COUNT(J$6:J279),"")</f>
        <v/>
      </c>
    </row>
    <row r="280">
      <c r="A280" s="13" t="n"/>
      <c r="B280" s="10" t="n"/>
      <c r="C280" s="10" t="n"/>
      <c r="D280" s="14" t="n"/>
      <c r="E280" s="14" t="n"/>
      <c r="F280" s="15">
        <f>IF(AND(ISNUMBER(D280),ISNUMBER(E280)),ROUND(IF(E280&lt;D280,E280+1-D280,E280-D280)*1440,2),IF(ISNUMBER(N280),N280,""))</f>
        <v/>
      </c>
      <c r="G280" s="10" t="n"/>
      <c r="H280" s="6">
        <f>IF(G280="","",IFERROR(VLOOKUP(G280,MOT,3,FALSE),"código inválido"))</f>
        <v/>
      </c>
      <c r="I280" s="10" t="n"/>
      <c r="J280" s="16" t="n"/>
      <c r="K280" s="16" t="n"/>
      <c r="L280" s="16" t="n"/>
      <c r="M280" s="16" t="n"/>
      <c r="N280" s="10" t="n"/>
      <c r="O280" s="6">
        <f>IF(G280="","",IFERROR(VLOOKUP(G280,MOT,2,FALSE),"código inválido"))</f>
        <v/>
      </c>
      <c r="P280" s="12">
        <f>IF(ISNUMBER(J280),COUNT(J$6:J280),"")</f>
        <v/>
      </c>
    </row>
    <row r="281">
      <c r="A281" s="13" t="n"/>
      <c r="B281" s="10" t="n"/>
      <c r="C281" s="10" t="n"/>
      <c r="D281" s="14" t="n"/>
      <c r="E281" s="14" t="n"/>
      <c r="F281" s="15">
        <f>IF(AND(ISNUMBER(D281),ISNUMBER(E281)),ROUND(IF(E281&lt;D281,E281+1-D281,E281-D281)*1440,2),IF(ISNUMBER(N281),N281,""))</f>
        <v/>
      </c>
      <c r="G281" s="10" t="n"/>
      <c r="H281" s="6">
        <f>IF(G281="","",IFERROR(VLOOKUP(G281,MOT,3,FALSE),"código inválido"))</f>
        <v/>
      </c>
      <c r="I281" s="10" t="n"/>
      <c r="J281" s="16" t="n"/>
      <c r="K281" s="16" t="n"/>
      <c r="L281" s="16" t="n"/>
      <c r="M281" s="16" t="n"/>
      <c r="N281" s="10" t="n"/>
      <c r="O281" s="6">
        <f>IF(G281="","",IFERROR(VLOOKUP(G281,MOT,2,FALSE),"código inválido"))</f>
        <v/>
      </c>
      <c r="P281" s="12">
        <f>IF(ISNUMBER(J281),COUNT(J$6:J281),"")</f>
        <v/>
      </c>
    </row>
    <row r="282">
      <c r="A282" s="13" t="n"/>
      <c r="B282" s="10" t="n"/>
      <c r="C282" s="10" t="n"/>
      <c r="D282" s="14" t="n"/>
      <c r="E282" s="14" t="n"/>
      <c r="F282" s="15">
        <f>IF(AND(ISNUMBER(D282),ISNUMBER(E282)),ROUND(IF(E282&lt;D282,E282+1-D282,E282-D282)*1440,2),IF(ISNUMBER(N282),N282,""))</f>
        <v/>
      </c>
      <c r="G282" s="10" t="n"/>
      <c r="H282" s="6">
        <f>IF(G282="","",IFERROR(VLOOKUP(G282,MOT,3,FALSE),"código inválido"))</f>
        <v/>
      </c>
      <c r="I282" s="10" t="n"/>
      <c r="J282" s="16" t="n"/>
      <c r="K282" s="16" t="n"/>
      <c r="L282" s="16" t="n"/>
      <c r="M282" s="16" t="n"/>
      <c r="N282" s="10" t="n"/>
      <c r="O282" s="6">
        <f>IF(G282="","",IFERROR(VLOOKUP(G282,MOT,2,FALSE),"código inválido"))</f>
        <v/>
      </c>
      <c r="P282" s="12">
        <f>IF(ISNUMBER(J282),COUNT(J$6:J282),"")</f>
        <v/>
      </c>
    </row>
    <row r="283">
      <c r="A283" s="13" t="n"/>
      <c r="B283" s="10" t="n"/>
      <c r="C283" s="10" t="n"/>
      <c r="D283" s="14" t="n"/>
      <c r="E283" s="14" t="n"/>
      <c r="F283" s="15">
        <f>IF(AND(ISNUMBER(D283),ISNUMBER(E283)),ROUND(IF(E283&lt;D283,E283+1-D283,E283-D283)*1440,2),IF(ISNUMBER(N283),N283,""))</f>
        <v/>
      </c>
      <c r="G283" s="10" t="n"/>
      <c r="H283" s="6">
        <f>IF(G283="","",IFERROR(VLOOKUP(G283,MOT,3,FALSE),"código inválido"))</f>
        <v/>
      </c>
      <c r="I283" s="10" t="n"/>
      <c r="J283" s="16" t="n"/>
      <c r="K283" s="16" t="n"/>
      <c r="L283" s="16" t="n"/>
      <c r="M283" s="16" t="n"/>
      <c r="N283" s="10" t="n"/>
      <c r="O283" s="6">
        <f>IF(G283="","",IFERROR(VLOOKUP(G283,MOT,2,FALSE),"código inválido"))</f>
        <v/>
      </c>
      <c r="P283" s="12">
        <f>IF(ISNUMBER(J283),COUNT(J$6:J283),"")</f>
        <v/>
      </c>
    </row>
    <row r="284">
      <c r="A284" s="13" t="n"/>
      <c r="B284" s="10" t="n"/>
      <c r="C284" s="10" t="n"/>
      <c r="D284" s="14" t="n"/>
      <c r="E284" s="14" t="n"/>
      <c r="F284" s="15">
        <f>IF(AND(ISNUMBER(D284),ISNUMBER(E284)),ROUND(IF(E284&lt;D284,E284+1-D284,E284-D284)*1440,2),IF(ISNUMBER(N284),N284,""))</f>
        <v/>
      </c>
      <c r="G284" s="10" t="n"/>
      <c r="H284" s="6">
        <f>IF(G284="","",IFERROR(VLOOKUP(G284,MOT,3,FALSE),"código inválido"))</f>
        <v/>
      </c>
      <c r="I284" s="10" t="n"/>
      <c r="J284" s="16" t="n"/>
      <c r="K284" s="16" t="n"/>
      <c r="L284" s="16" t="n"/>
      <c r="M284" s="16" t="n"/>
      <c r="N284" s="10" t="n"/>
      <c r="O284" s="6">
        <f>IF(G284="","",IFERROR(VLOOKUP(G284,MOT,2,FALSE),"código inválido"))</f>
        <v/>
      </c>
      <c r="P284" s="12">
        <f>IF(ISNUMBER(J284),COUNT(J$6:J284),"")</f>
        <v/>
      </c>
    </row>
    <row r="285">
      <c r="A285" s="13" t="n"/>
      <c r="B285" s="10" t="n"/>
      <c r="C285" s="10" t="n"/>
      <c r="D285" s="14" t="n"/>
      <c r="E285" s="14" t="n"/>
      <c r="F285" s="15">
        <f>IF(AND(ISNUMBER(D285),ISNUMBER(E285)),ROUND(IF(E285&lt;D285,E285+1-D285,E285-D285)*1440,2),IF(ISNUMBER(N285),N285,""))</f>
        <v/>
      </c>
      <c r="G285" s="10" t="n"/>
      <c r="H285" s="6">
        <f>IF(G285="","",IFERROR(VLOOKUP(G285,MOT,3,FALSE),"código inválido"))</f>
        <v/>
      </c>
      <c r="I285" s="10" t="n"/>
      <c r="J285" s="16" t="n"/>
      <c r="K285" s="16" t="n"/>
      <c r="L285" s="16" t="n"/>
      <c r="M285" s="16" t="n"/>
      <c r="N285" s="10" t="n"/>
      <c r="O285" s="6">
        <f>IF(G285="","",IFERROR(VLOOKUP(G285,MOT,2,FALSE),"código inválido"))</f>
        <v/>
      </c>
      <c r="P285" s="12">
        <f>IF(ISNUMBER(J285),COUNT(J$6:J285),"")</f>
        <v/>
      </c>
    </row>
    <row r="286">
      <c r="A286" s="13" t="n"/>
      <c r="B286" s="10" t="n"/>
      <c r="C286" s="10" t="n"/>
      <c r="D286" s="14" t="n"/>
      <c r="E286" s="14" t="n"/>
      <c r="F286" s="15">
        <f>IF(AND(ISNUMBER(D286),ISNUMBER(E286)),ROUND(IF(E286&lt;D286,E286+1-D286,E286-D286)*1440,2),IF(ISNUMBER(N286),N286,""))</f>
        <v/>
      </c>
      <c r="G286" s="10" t="n"/>
      <c r="H286" s="6">
        <f>IF(G286="","",IFERROR(VLOOKUP(G286,MOT,3,FALSE),"código inválido"))</f>
        <v/>
      </c>
      <c r="I286" s="10" t="n"/>
      <c r="J286" s="16" t="n"/>
      <c r="K286" s="16" t="n"/>
      <c r="L286" s="16" t="n"/>
      <c r="M286" s="16" t="n"/>
      <c r="N286" s="10" t="n"/>
      <c r="O286" s="6">
        <f>IF(G286="","",IFERROR(VLOOKUP(G286,MOT,2,FALSE),"código inválido"))</f>
        <v/>
      </c>
      <c r="P286" s="12">
        <f>IF(ISNUMBER(J286),COUNT(J$6:J286),"")</f>
        <v/>
      </c>
    </row>
    <row r="287">
      <c r="A287" s="13" t="n"/>
      <c r="B287" s="10" t="n"/>
      <c r="C287" s="10" t="n"/>
      <c r="D287" s="14" t="n"/>
      <c r="E287" s="14" t="n"/>
      <c r="F287" s="15">
        <f>IF(AND(ISNUMBER(D287),ISNUMBER(E287)),ROUND(IF(E287&lt;D287,E287+1-D287,E287-D287)*1440,2),IF(ISNUMBER(N287),N287,""))</f>
        <v/>
      </c>
      <c r="G287" s="10" t="n"/>
      <c r="H287" s="6">
        <f>IF(G287="","",IFERROR(VLOOKUP(G287,MOT,3,FALSE),"código inválido"))</f>
        <v/>
      </c>
      <c r="I287" s="10" t="n"/>
      <c r="J287" s="16" t="n"/>
      <c r="K287" s="16" t="n"/>
      <c r="L287" s="16" t="n"/>
      <c r="M287" s="16" t="n"/>
      <c r="N287" s="10" t="n"/>
      <c r="O287" s="6">
        <f>IF(G287="","",IFERROR(VLOOKUP(G287,MOT,2,FALSE),"código inválido"))</f>
        <v/>
      </c>
      <c r="P287" s="12">
        <f>IF(ISNUMBER(J287),COUNT(J$6:J287),"")</f>
        <v/>
      </c>
    </row>
    <row r="288">
      <c r="A288" s="13" t="n"/>
      <c r="B288" s="10" t="n"/>
      <c r="C288" s="10" t="n"/>
      <c r="D288" s="14" t="n"/>
      <c r="E288" s="14" t="n"/>
      <c r="F288" s="15">
        <f>IF(AND(ISNUMBER(D288),ISNUMBER(E288)),ROUND(IF(E288&lt;D288,E288+1-D288,E288-D288)*1440,2),IF(ISNUMBER(N288),N288,""))</f>
        <v/>
      </c>
      <c r="G288" s="10" t="n"/>
      <c r="H288" s="6">
        <f>IF(G288="","",IFERROR(VLOOKUP(G288,MOT,3,FALSE),"código inválido"))</f>
        <v/>
      </c>
      <c r="I288" s="10" t="n"/>
      <c r="J288" s="16" t="n"/>
      <c r="K288" s="16" t="n"/>
      <c r="L288" s="16" t="n"/>
      <c r="M288" s="16" t="n"/>
      <c r="N288" s="10" t="n"/>
      <c r="O288" s="6">
        <f>IF(G288="","",IFERROR(VLOOKUP(G288,MOT,2,FALSE),"código inválido"))</f>
        <v/>
      </c>
      <c r="P288" s="12">
        <f>IF(ISNUMBER(J288),COUNT(J$6:J288),"")</f>
        <v/>
      </c>
    </row>
    <row r="289">
      <c r="A289" s="13" t="n"/>
      <c r="B289" s="10" t="n"/>
      <c r="C289" s="10" t="n"/>
      <c r="D289" s="14" t="n"/>
      <c r="E289" s="14" t="n"/>
      <c r="F289" s="15">
        <f>IF(AND(ISNUMBER(D289),ISNUMBER(E289)),ROUND(IF(E289&lt;D289,E289+1-D289,E289-D289)*1440,2),IF(ISNUMBER(N289),N289,""))</f>
        <v/>
      </c>
      <c r="G289" s="10" t="n"/>
      <c r="H289" s="6">
        <f>IF(G289="","",IFERROR(VLOOKUP(G289,MOT,3,FALSE),"código inválido"))</f>
        <v/>
      </c>
      <c r="I289" s="10" t="n"/>
      <c r="J289" s="16" t="n"/>
      <c r="K289" s="16" t="n"/>
      <c r="L289" s="16" t="n"/>
      <c r="M289" s="16" t="n"/>
      <c r="N289" s="10" t="n"/>
      <c r="O289" s="6">
        <f>IF(G289="","",IFERROR(VLOOKUP(G289,MOT,2,FALSE),"código inválido"))</f>
        <v/>
      </c>
      <c r="P289" s="12">
        <f>IF(ISNUMBER(J289),COUNT(J$6:J289),"")</f>
        <v/>
      </c>
    </row>
    <row r="290">
      <c r="A290" s="13" t="n"/>
      <c r="B290" s="10" t="n"/>
      <c r="C290" s="10" t="n"/>
      <c r="D290" s="14" t="n"/>
      <c r="E290" s="14" t="n"/>
      <c r="F290" s="15">
        <f>IF(AND(ISNUMBER(D290),ISNUMBER(E290)),ROUND(IF(E290&lt;D290,E290+1-D290,E290-D290)*1440,2),IF(ISNUMBER(N290),N290,""))</f>
        <v/>
      </c>
      <c r="G290" s="10" t="n"/>
      <c r="H290" s="6">
        <f>IF(G290="","",IFERROR(VLOOKUP(G290,MOT,3,FALSE),"código inválido"))</f>
        <v/>
      </c>
      <c r="I290" s="10" t="n"/>
      <c r="J290" s="16" t="n"/>
      <c r="K290" s="16" t="n"/>
      <c r="L290" s="16" t="n"/>
      <c r="M290" s="16" t="n"/>
      <c r="N290" s="10" t="n"/>
      <c r="O290" s="6">
        <f>IF(G290="","",IFERROR(VLOOKUP(G290,MOT,2,FALSE),"código inválido"))</f>
        <v/>
      </c>
      <c r="P290" s="12">
        <f>IF(ISNUMBER(J290),COUNT(J$6:J290),"")</f>
        <v/>
      </c>
    </row>
    <row r="291">
      <c r="A291" s="13" t="n"/>
      <c r="B291" s="10" t="n"/>
      <c r="C291" s="10" t="n"/>
      <c r="D291" s="14" t="n"/>
      <c r="E291" s="14" t="n"/>
      <c r="F291" s="15">
        <f>IF(AND(ISNUMBER(D291),ISNUMBER(E291)),ROUND(IF(E291&lt;D291,E291+1-D291,E291-D291)*1440,2),IF(ISNUMBER(N291),N291,""))</f>
        <v/>
      </c>
      <c r="G291" s="10" t="n"/>
      <c r="H291" s="6">
        <f>IF(G291="","",IFERROR(VLOOKUP(G291,MOT,3,FALSE),"código inválido"))</f>
        <v/>
      </c>
      <c r="I291" s="10" t="n"/>
      <c r="J291" s="16" t="n"/>
      <c r="K291" s="16" t="n"/>
      <c r="L291" s="16" t="n"/>
      <c r="M291" s="16" t="n"/>
      <c r="N291" s="10" t="n"/>
      <c r="O291" s="6">
        <f>IF(G291="","",IFERROR(VLOOKUP(G291,MOT,2,FALSE),"código inválido"))</f>
        <v/>
      </c>
      <c r="P291" s="12">
        <f>IF(ISNUMBER(J291),COUNT(J$6:J291),"")</f>
        <v/>
      </c>
    </row>
    <row r="292">
      <c r="A292" s="13" t="n"/>
      <c r="B292" s="10" t="n"/>
      <c r="C292" s="10" t="n"/>
      <c r="D292" s="14" t="n"/>
      <c r="E292" s="14" t="n"/>
      <c r="F292" s="15">
        <f>IF(AND(ISNUMBER(D292),ISNUMBER(E292)),ROUND(IF(E292&lt;D292,E292+1-D292,E292-D292)*1440,2),IF(ISNUMBER(N292),N292,""))</f>
        <v/>
      </c>
      <c r="G292" s="10" t="n"/>
      <c r="H292" s="6">
        <f>IF(G292="","",IFERROR(VLOOKUP(G292,MOT,3,FALSE),"código inválido"))</f>
        <v/>
      </c>
      <c r="I292" s="10" t="n"/>
      <c r="J292" s="16" t="n"/>
      <c r="K292" s="16" t="n"/>
      <c r="L292" s="16" t="n"/>
      <c r="M292" s="16" t="n"/>
      <c r="N292" s="10" t="n"/>
      <c r="O292" s="6">
        <f>IF(G292="","",IFERROR(VLOOKUP(G292,MOT,2,FALSE),"código inválido"))</f>
        <v/>
      </c>
      <c r="P292" s="12">
        <f>IF(ISNUMBER(J292),COUNT(J$6:J292),"")</f>
        <v/>
      </c>
    </row>
    <row r="293">
      <c r="A293" s="13" t="n"/>
      <c r="B293" s="10" t="n"/>
      <c r="C293" s="10" t="n"/>
      <c r="D293" s="14" t="n"/>
      <c r="E293" s="14" t="n"/>
      <c r="F293" s="15">
        <f>IF(AND(ISNUMBER(D293),ISNUMBER(E293)),ROUND(IF(E293&lt;D293,E293+1-D293,E293-D293)*1440,2),IF(ISNUMBER(N293),N293,""))</f>
        <v/>
      </c>
      <c r="G293" s="10" t="n"/>
      <c r="H293" s="6">
        <f>IF(G293="","",IFERROR(VLOOKUP(G293,MOT,3,FALSE),"código inválido"))</f>
        <v/>
      </c>
      <c r="I293" s="10" t="n"/>
      <c r="J293" s="16" t="n"/>
      <c r="K293" s="16" t="n"/>
      <c r="L293" s="16" t="n"/>
      <c r="M293" s="16" t="n"/>
      <c r="N293" s="10" t="n"/>
      <c r="O293" s="6">
        <f>IF(G293="","",IFERROR(VLOOKUP(G293,MOT,2,FALSE),"código inválido"))</f>
        <v/>
      </c>
      <c r="P293" s="12">
        <f>IF(ISNUMBER(J293),COUNT(J$6:J293),"")</f>
        <v/>
      </c>
    </row>
    <row r="294">
      <c r="A294" s="13" t="n"/>
      <c r="B294" s="10" t="n"/>
      <c r="C294" s="10" t="n"/>
      <c r="D294" s="14" t="n"/>
      <c r="E294" s="14" t="n"/>
      <c r="F294" s="15">
        <f>IF(AND(ISNUMBER(D294),ISNUMBER(E294)),ROUND(IF(E294&lt;D294,E294+1-D294,E294-D294)*1440,2),IF(ISNUMBER(N294),N294,""))</f>
        <v/>
      </c>
      <c r="G294" s="10" t="n"/>
      <c r="H294" s="6">
        <f>IF(G294="","",IFERROR(VLOOKUP(G294,MOT,3,FALSE),"código inválido"))</f>
        <v/>
      </c>
      <c r="I294" s="10" t="n"/>
      <c r="J294" s="16" t="n"/>
      <c r="K294" s="16" t="n"/>
      <c r="L294" s="16" t="n"/>
      <c r="M294" s="16" t="n"/>
      <c r="N294" s="10" t="n"/>
      <c r="O294" s="6">
        <f>IF(G294="","",IFERROR(VLOOKUP(G294,MOT,2,FALSE),"código inválido"))</f>
        <v/>
      </c>
      <c r="P294" s="12">
        <f>IF(ISNUMBER(J294),COUNT(J$6:J294),"")</f>
        <v/>
      </c>
    </row>
    <row r="295">
      <c r="A295" s="13" t="n"/>
      <c r="B295" s="10" t="n"/>
      <c r="C295" s="10" t="n"/>
      <c r="D295" s="14" t="n"/>
      <c r="E295" s="14" t="n"/>
      <c r="F295" s="15">
        <f>IF(AND(ISNUMBER(D295),ISNUMBER(E295)),ROUND(IF(E295&lt;D295,E295+1-D295,E295-D295)*1440,2),IF(ISNUMBER(N295),N295,""))</f>
        <v/>
      </c>
      <c r="G295" s="10" t="n"/>
      <c r="H295" s="6">
        <f>IF(G295="","",IFERROR(VLOOKUP(G295,MOT,3,FALSE),"código inválido"))</f>
        <v/>
      </c>
      <c r="I295" s="10" t="n"/>
      <c r="J295" s="16" t="n"/>
      <c r="K295" s="16" t="n"/>
      <c r="L295" s="16" t="n"/>
      <c r="M295" s="16" t="n"/>
      <c r="N295" s="10" t="n"/>
      <c r="O295" s="6">
        <f>IF(G295="","",IFERROR(VLOOKUP(G295,MOT,2,FALSE),"código inválido"))</f>
        <v/>
      </c>
      <c r="P295" s="12">
        <f>IF(ISNUMBER(J295),COUNT(J$6:J295),"")</f>
        <v/>
      </c>
    </row>
    <row r="296">
      <c r="A296" s="13" t="n"/>
      <c r="B296" s="10" t="n"/>
      <c r="C296" s="10" t="n"/>
      <c r="D296" s="14" t="n"/>
      <c r="E296" s="14" t="n"/>
      <c r="F296" s="15">
        <f>IF(AND(ISNUMBER(D296),ISNUMBER(E296)),ROUND(IF(E296&lt;D296,E296+1-D296,E296-D296)*1440,2),IF(ISNUMBER(N296),N296,""))</f>
        <v/>
      </c>
      <c r="G296" s="10" t="n"/>
      <c r="H296" s="6">
        <f>IF(G296="","",IFERROR(VLOOKUP(G296,MOT,3,FALSE),"código inválido"))</f>
        <v/>
      </c>
      <c r="I296" s="10" t="n"/>
      <c r="J296" s="16" t="n"/>
      <c r="K296" s="16" t="n"/>
      <c r="L296" s="16" t="n"/>
      <c r="M296" s="16" t="n"/>
      <c r="N296" s="10" t="n"/>
      <c r="O296" s="6">
        <f>IF(G296="","",IFERROR(VLOOKUP(G296,MOT,2,FALSE),"código inválido"))</f>
        <v/>
      </c>
      <c r="P296" s="12">
        <f>IF(ISNUMBER(J296),COUNT(J$6:J296),"")</f>
        <v/>
      </c>
    </row>
    <row r="297">
      <c r="A297" s="13" t="n"/>
      <c r="B297" s="10" t="n"/>
      <c r="C297" s="10" t="n"/>
      <c r="D297" s="14" t="n"/>
      <c r="E297" s="14" t="n"/>
      <c r="F297" s="15">
        <f>IF(AND(ISNUMBER(D297),ISNUMBER(E297)),ROUND(IF(E297&lt;D297,E297+1-D297,E297-D297)*1440,2),IF(ISNUMBER(N297),N297,""))</f>
        <v/>
      </c>
      <c r="G297" s="10" t="n"/>
      <c r="H297" s="6">
        <f>IF(G297="","",IFERROR(VLOOKUP(G297,MOT,3,FALSE),"código inválido"))</f>
        <v/>
      </c>
      <c r="I297" s="10" t="n"/>
      <c r="J297" s="16" t="n"/>
      <c r="K297" s="16" t="n"/>
      <c r="L297" s="16" t="n"/>
      <c r="M297" s="16" t="n"/>
      <c r="N297" s="10" t="n"/>
      <c r="O297" s="6">
        <f>IF(G297="","",IFERROR(VLOOKUP(G297,MOT,2,FALSE),"código inválido"))</f>
        <v/>
      </c>
      <c r="P297" s="12">
        <f>IF(ISNUMBER(J297),COUNT(J$6:J297),"")</f>
        <v/>
      </c>
    </row>
    <row r="298">
      <c r="A298" s="13" t="n"/>
      <c r="B298" s="10" t="n"/>
      <c r="C298" s="10" t="n"/>
      <c r="D298" s="14" t="n"/>
      <c r="E298" s="14" t="n"/>
      <c r="F298" s="15">
        <f>IF(AND(ISNUMBER(D298),ISNUMBER(E298)),ROUND(IF(E298&lt;D298,E298+1-D298,E298-D298)*1440,2),IF(ISNUMBER(N298),N298,""))</f>
        <v/>
      </c>
      <c r="G298" s="10" t="n"/>
      <c r="H298" s="6">
        <f>IF(G298="","",IFERROR(VLOOKUP(G298,MOT,3,FALSE),"código inválido"))</f>
        <v/>
      </c>
      <c r="I298" s="10" t="n"/>
      <c r="J298" s="16" t="n"/>
      <c r="K298" s="16" t="n"/>
      <c r="L298" s="16" t="n"/>
      <c r="M298" s="16" t="n"/>
      <c r="N298" s="10" t="n"/>
      <c r="O298" s="6">
        <f>IF(G298="","",IFERROR(VLOOKUP(G298,MOT,2,FALSE),"código inválido"))</f>
        <v/>
      </c>
      <c r="P298" s="12">
        <f>IF(ISNUMBER(J298),COUNT(J$6:J298),"")</f>
        <v/>
      </c>
    </row>
    <row r="299">
      <c r="A299" s="13" t="n"/>
      <c r="B299" s="10" t="n"/>
      <c r="C299" s="10" t="n"/>
      <c r="D299" s="14" t="n"/>
      <c r="E299" s="14" t="n"/>
      <c r="F299" s="15">
        <f>IF(AND(ISNUMBER(D299),ISNUMBER(E299)),ROUND(IF(E299&lt;D299,E299+1-D299,E299-D299)*1440,2),IF(ISNUMBER(N299),N299,""))</f>
        <v/>
      </c>
      <c r="G299" s="10" t="n"/>
      <c r="H299" s="6">
        <f>IF(G299="","",IFERROR(VLOOKUP(G299,MOT,3,FALSE),"código inválido"))</f>
        <v/>
      </c>
      <c r="I299" s="10" t="n"/>
      <c r="J299" s="16" t="n"/>
      <c r="K299" s="16" t="n"/>
      <c r="L299" s="16" t="n"/>
      <c r="M299" s="16" t="n"/>
      <c r="N299" s="10" t="n"/>
      <c r="O299" s="6">
        <f>IF(G299="","",IFERROR(VLOOKUP(G299,MOT,2,FALSE),"código inválido"))</f>
        <v/>
      </c>
      <c r="P299" s="12">
        <f>IF(ISNUMBER(J299),COUNT(J$6:J299),"")</f>
        <v/>
      </c>
    </row>
    <row r="300">
      <c r="A300" s="13" t="n"/>
      <c r="B300" s="10" t="n"/>
      <c r="C300" s="10" t="n"/>
      <c r="D300" s="14" t="n"/>
      <c r="E300" s="14" t="n"/>
      <c r="F300" s="15">
        <f>IF(AND(ISNUMBER(D300),ISNUMBER(E300)),ROUND(IF(E300&lt;D300,E300+1-D300,E300-D300)*1440,2),IF(ISNUMBER(N300),N300,""))</f>
        <v/>
      </c>
      <c r="G300" s="10" t="n"/>
      <c r="H300" s="6">
        <f>IF(G300="","",IFERROR(VLOOKUP(G300,MOT,3,FALSE),"código inválido"))</f>
        <v/>
      </c>
      <c r="I300" s="10" t="n"/>
      <c r="J300" s="16" t="n"/>
      <c r="K300" s="16" t="n"/>
      <c r="L300" s="16" t="n"/>
      <c r="M300" s="16" t="n"/>
      <c r="N300" s="10" t="n"/>
      <c r="O300" s="6">
        <f>IF(G300="","",IFERROR(VLOOKUP(G300,MOT,2,FALSE),"código inválido"))</f>
        <v/>
      </c>
      <c r="P300" s="12">
        <f>IF(ISNUMBER(J300),COUNT(J$6:J300),"")</f>
        <v/>
      </c>
    </row>
    <row r="301">
      <c r="A301" s="13" t="n"/>
      <c r="B301" s="10" t="n"/>
      <c r="C301" s="10" t="n"/>
      <c r="D301" s="14" t="n"/>
      <c r="E301" s="14" t="n"/>
      <c r="F301" s="15">
        <f>IF(AND(ISNUMBER(D301),ISNUMBER(E301)),ROUND(IF(E301&lt;D301,E301+1-D301,E301-D301)*1440,2),IF(ISNUMBER(N301),N301,""))</f>
        <v/>
      </c>
      <c r="G301" s="10" t="n"/>
      <c r="H301" s="6">
        <f>IF(G301="","",IFERROR(VLOOKUP(G301,MOT,3,FALSE),"código inválido"))</f>
        <v/>
      </c>
      <c r="I301" s="10" t="n"/>
      <c r="J301" s="16" t="n"/>
      <c r="K301" s="16" t="n"/>
      <c r="L301" s="16" t="n"/>
      <c r="M301" s="16" t="n"/>
      <c r="N301" s="10" t="n"/>
      <c r="O301" s="6">
        <f>IF(G301="","",IFERROR(VLOOKUP(G301,MOT,2,FALSE),"código inválido"))</f>
        <v/>
      </c>
      <c r="P301" s="12">
        <f>IF(ISNUMBER(J301),COUNT(J$6:J301),"")</f>
        <v/>
      </c>
    </row>
    <row r="302">
      <c r="A302" s="13" t="n"/>
      <c r="B302" s="10" t="n"/>
      <c r="C302" s="10" t="n"/>
      <c r="D302" s="14" t="n"/>
      <c r="E302" s="14" t="n"/>
      <c r="F302" s="15">
        <f>IF(AND(ISNUMBER(D302),ISNUMBER(E302)),ROUND(IF(E302&lt;D302,E302+1-D302,E302-D302)*1440,2),IF(ISNUMBER(N302),N302,""))</f>
        <v/>
      </c>
      <c r="G302" s="10" t="n"/>
      <c r="H302" s="6">
        <f>IF(G302="","",IFERROR(VLOOKUP(G302,MOT,3,FALSE),"código inválido"))</f>
        <v/>
      </c>
      <c r="I302" s="10" t="n"/>
      <c r="J302" s="16" t="n"/>
      <c r="K302" s="16" t="n"/>
      <c r="L302" s="16" t="n"/>
      <c r="M302" s="16" t="n"/>
      <c r="N302" s="10" t="n"/>
      <c r="O302" s="6">
        <f>IF(G302="","",IFERROR(VLOOKUP(G302,MOT,2,FALSE),"código inválido"))</f>
        <v/>
      </c>
      <c r="P302" s="12">
        <f>IF(ISNUMBER(J302),COUNT(J$6:J302),"")</f>
        <v/>
      </c>
    </row>
    <row r="303">
      <c r="A303" s="13" t="n"/>
      <c r="B303" s="10" t="n"/>
      <c r="C303" s="10" t="n"/>
      <c r="D303" s="14" t="n"/>
      <c r="E303" s="14" t="n"/>
      <c r="F303" s="15">
        <f>IF(AND(ISNUMBER(D303),ISNUMBER(E303)),ROUND(IF(E303&lt;D303,E303+1-D303,E303-D303)*1440,2),IF(ISNUMBER(N303),N303,""))</f>
        <v/>
      </c>
      <c r="G303" s="10" t="n"/>
      <c r="H303" s="6">
        <f>IF(G303="","",IFERROR(VLOOKUP(G303,MOT,3,FALSE),"código inválido"))</f>
        <v/>
      </c>
      <c r="I303" s="10" t="n"/>
      <c r="J303" s="16" t="n"/>
      <c r="K303" s="16" t="n"/>
      <c r="L303" s="16" t="n"/>
      <c r="M303" s="16" t="n"/>
      <c r="N303" s="10" t="n"/>
      <c r="O303" s="6">
        <f>IF(G303="","",IFERROR(VLOOKUP(G303,MOT,2,FALSE),"código inválido"))</f>
        <v/>
      </c>
      <c r="P303" s="12">
        <f>IF(ISNUMBER(J303),COUNT(J$6:J303),"")</f>
        <v/>
      </c>
    </row>
    <row r="304">
      <c r="A304" s="13" t="n"/>
      <c r="B304" s="10" t="n"/>
      <c r="C304" s="10" t="n"/>
      <c r="D304" s="14" t="n"/>
      <c r="E304" s="14" t="n"/>
      <c r="F304" s="15">
        <f>IF(AND(ISNUMBER(D304),ISNUMBER(E304)),ROUND(IF(E304&lt;D304,E304+1-D304,E304-D304)*1440,2),IF(ISNUMBER(N304),N304,""))</f>
        <v/>
      </c>
      <c r="G304" s="10" t="n"/>
      <c r="H304" s="6">
        <f>IF(G304="","",IFERROR(VLOOKUP(G304,MOT,3,FALSE),"código inválido"))</f>
        <v/>
      </c>
      <c r="I304" s="10" t="n"/>
      <c r="J304" s="16" t="n"/>
      <c r="K304" s="16" t="n"/>
      <c r="L304" s="16" t="n"/>
      <c r="M304" s="16" t="n"/>
      <c r="N304" s="10" t="n"/>
      <c r="O304" s="6">
        <f>IF(G304="","",IFERROR(VLOOKUP(G304,MOT,2,FALSE),"código inválido"))</f>
        <v/>
      </c>
      <c r="P304" s="12">
        <f>IF(ISNUMBER(J304),COUNT(J$6:J304),"")</f>
        <v/>
      </c>
    </row>
    <row r="305">
      <c r="A305" s="13" t="n"/>
      <c r="B305" s="10" t="n"/>
      <c r="C305" s="10" t="n"/>
      <c r="D305" s="14" t="n"/>
      <c r="E305" s="14" t="n"/>
      <c r="F305" s="15">
        <f>IF(AND(ISNUMBER(D305),ISNUMBER(E305)),ROUND(IF(E305&lt;D305,E305+1-D305,E305-D305)*1440,2),IF(ISNUMBER(N305),N305,""))</f>
        <v/>
      </c>
      <c r="G305" s="10" t="n"/>
      <c r="H305" s="6">
        <f>IF(G305="","",IFERROR(VLOOKUP(G305,MOT,3,FALSE),"código inválido"))</f>
        <v/>
      </c>
      <c r="I305" s="10" t="n"/>
      <c r="J305" s="16" t="n"/>
      <c r="K305" s="16" t="n"/>
      <c r="L305" s="16" t="n"/>
      <c r="M305" s="16" t="n"/>
      <c r="N305" s="10" t="n"/>
      <c r="O305" s="6">
        <f>IF(G305="","",IFERROR(VLOOKUP(G305,MOT,2,FALSE),"código inválido"))</f>
        <v/>
      </c>
      <c r="P305" s="12">
        <f>IF(ISNUMBER(J305),COUNT(J$6:J305),"")</f>
        <v/>
      </c>
    </row>
    <row r="306">
      <c r="A306" s="13" t="n"/>
      <c r="B306" s="10" t="n"/>
      <c r="C306" s="10" t="n"/>
      <c r="D306" s="14" t="n"/>
      <c r="E306" s="14" t="n"/>
      <c r="F306" s="15">
        <f>IF(AND(ISNUMBER(D306),ISNUMBER(E306)),ROUND(IF(E306&lt;D306,E306+1-D306,E306-D306)*1440,2),IF(ISNUMBER(N306),N306,""))</f>
        <v/>
      </c>
      <c r="G306" s="10" t="n"/>
      <c r="H306" s="6">
        <f>IF(G306="","",IFERROR(VLOOKUP(G306,MOT,3,FALSE),"código inválido"))</f>
        <v/>
      </c>
      <c r="I306" s="10" t="n"/>
      <c r="J306" s="16" t="n"/>
      <c r="K306" s="16" t="n"/>
      <c r="L306" s="16" t="n"/>
      <c r="M306" s="16" t="n"/>
      <c r="N306" s="10" t="n"/>
      <c r="O306" s="6">
        <f>IF(G306="","",IFERROR(VLOOKUP(G306,MOT,2,FALSE),"código inválido"))</f>
        <v/>
      </c>
      <c r="P306" s="12">
        <f>IF(ISNUMBER(J306),COUNT(J$6:J306),"")</f>
        <v/>
      </c>
    </row>
    <row r="307">
      <c r="A307" s="13" t="n"/>
      <c r="B307" s="10" t="n"/>
      <c r="C307" s="10" t="n"/>
      <c r="D307" s="14" t="n"/>
      <c r="E307" s="14" t="n"/>
      <c r="F307" s="15">
        <f>IF(AND(ISNUMBER(D307),ISNUMBER(E307)),ROUND(IF(E307&lt;D307,E307+1-D307,E307-D307)*1440,2),IF(ISNUMBER(N307),N307,""))</f>
        <v/>
      </c>
      <c r="G307" s="10" t="n"/>
      <c r="H307" s="6">
        <f>IF(G307="","",IFERROR(VLOOKUP(G307,MOT,3,FALSE),"código inválido"))</f>
        <v/>
      </c>
      <c r="I307" s="10" t="n"/>
      <c r="J307" s="16" t="n"/>
      <c r="K307" s="16" t="n"/>
      <c r="L307" s="16" t="n"/>
      <c r="M307" s="16" t="n"/>
      <c r="N307" s="10" t="n"/>
      <c r="O307" s="6">
        <f>IF(G307="","",IFERROR(VLOOKUP(G307,MOT,2,FALSE),"código inválido"))</f>
        <v/>
      </c>
      <c r="P307" s="12">
        <f>IF(ISNUMBER(J307),COUNT(J$6:J307),"")</f>
        <v/>
      </c>
    </row>
    <row r="308">
      <c r="A308" s="13" t="n"/>
      <c r="B308" s="10" t="n"/>
      <c r="C308" s="10" t="n"/>
      <c r="D308" s="14" t="n"/>
      <c r="E308" s="14" t="n"/>
      <c r="F308" s="15">
        <f>IF(AND(ISNUMBER(D308),ISNUMBER(E308)),ROUND(IF(E308&lt;D308,E308+1-D308,E308-D308)*1440,2),IF(ISNUMBER(N308),N308,""))</f>
        <v/>
      </c>
      <c r="G308" s="10" t="n"/>
      <c r="H308" s="6">
        <f>IF(G308="","",IFERROR(VLOOKUP(G308,MOT,3,FALSE),"código inválido"))</f>
        <v/>
      </c>
      <c r="I308" s="10" t="n"/>
      <c r="J308" s="16" t="n"/>
      <c r="K308" s="16" t="n"/>
      <c r="L308" s="16" t="n"/>
      <c r="M308" s="16" t="n"/>
      <c r="N308" s="10" t="n"/>
      <c r="O308" s="6">
        <f>IF(G308="","",IFERROR(VLOOKUP(G308,MOT,2,FALSE),"código inválido"))</f>
        <v/>
      </c>
      <c r="P308" s="12">
        <f>IF(ISNUMBER(J308),COUNT(J$6:J308),"")</f>
        <v/>
      </c>
    </row>
    <row r="309">
      <c r="A309" s="13" t="n"/>
      <c r="B309" s="10" t="n"/>
      <c r="C309" s="10" t="n"/>
      <c r="D309" s="14" t="n"/>
      <c r="E309" s="14" t="n"/>
      <c r="F309" s="15">
        <f>IF(AND(ISNUMBER(D309),ISNUMBER(E309)),ROUND(IF(E309&lt;D309,E309+1-D309,E309-D309)*1440,2),IF(ISNUMBER(N309),N309,""))</f>
        <v/>
      </c>
      <c r="G309" s="10" t="n"/>
      <c r="H309" s="6">
        <f>IF(G309="","",IFERROR(VLOOKUP(G309,MOT,3,FALSE),"código inválido"))</f>
        <v/>
      </c>
      <c r="I309" s="10" t="n"/>
      <c r="J309" s="16" t="n"/>
      <c r="K309" s="16" t="n"/>
      <c r="L309" s="16" t="n"/>
      <c r="M309" s="16" t="n"/>
      <c r="N309" s="10" t="n"/>
      <c r="O309" s="6">
        <f>IF(G309="","",IFERROR(VLOOKUP(G309,MOT,2,FALSE),"código inválido"))</f>
        <v/>
      </c>
      <c r="P309" s="12">
        <f>IF(ISNUMBER(J309),COUNT(J$6:J309),"")</f>
        <v/>
      </c>
    </row>
    <row r="310">
      <c r="A310" s="13" t="n"/>
      <c r="B310" s="10" t="n"/>
      <c r="C310" s="10" t="n"/>
      <c r="D310" s="14" t="n"/>
      <c r="E310" s="14" t="n"/>
      <c r="F310" s="15">
        <f>IF(AND(ISNUMBER(D310),ISNUMBER(E310)),ROUND(IF(E310&lt;D310,E310+1-D310,E310-D310)*1440,2),IF(ISNUMBER(N310),N310,""))</f>
        <v/>
      </c>
      <c r="G310" s="10" t="n"/>
      <c r="H310" s="6">
        <f>IF(G310="","",IFERROR(VLOOKUP(G310,MOT,3,FALSE),"código inválido"))</f>
        <v/>
      </c>
      <c r="I310" s="10" t="n"/>
      <c r="J310" s="16" t="n"/>
      <c r="K310" s="16" t="n"/>
      <c r="L310" s="16" t="n"/>
      <c r="M310" s="16" t="n"/>
      <c r="N310" s="10" t="n"/>
      <c r="O310" s="6">
        <f>IF(G310="","",IFERROR(VLOOKUP(G310,MOT,2,FALSE),"código inválido"))</f>
        <v/>
      </c>
      <c r="P310" s="12">
        <f>IF(ISNUMBER(J310),COUNT(J$6:J310),"")</f>
        <v/>
      </c>
    </row>
    <row r="311">
      <c r="A311" s="13" t="n"/>
      <c r="B311" s="10" t="n"/>
      <c r="C311" s="10" t="n"/>
      <c r="D311" s="14" t="n"/>
      <c r="E311" s="14" t="n"/>
      <c r="F311" s="15">
        <f>IF(AND(ISNUMBER(D311),ISNUMBER(E311)),ROUND(IF(E311&lt;D311,E311+1-D311,E311-D311)*1440,2),IF(ISNUMBER(N311),N311,""))</f>
        <v/>
      </c>
      <c r="G311" s="10" t="n"/>
      <c r="H311" s="6">
        <f>IF(G311="","",IFERROR(VLOOKUP(G311,MOT,3,FALSE),"código inválido"))</f>
        <v/>
      </c>
      <c r="I311" s="10" t="n"/>
      <c r="J311" s="16" t="n"/>
      <c r="K311" s="16" t="n"/>
      <c r="L311" s="16" t="n"/>
      <c r="M311" s="16" t="n"/>
      <c r="N311" s="10" t="n"/>
      <c r="O311" s="6">
        <f>IF(G311="","",IFERROR(VLOOKUP(G311,MOT,2,FALSE),"código inválido"))</f>
        <v/>
      </c>
      <c r="P311" s="12">
        <f>IF(ISNUMBER(J311),COUNT(J$6:J311),"")</f>
        <v/>
      </c>
    </row>
    <row r="312">
      <c r="A312" s="13" t="n"/>
      <c r="B312" s="10" t="n"/>
      <c r="C312" s="10" t="n"/>
      <c r="D312" s="14" t="n"/>
      <c r="E312" s="14" t="n"/>
      <c r="F312" s="15">
        <f>IF(AND(ISNUMBER(D312),ISNUMBER(E312)),ROUND(IF(E312&lt;D312,E312+1-D312,E312-D312)*1440,2),IF(ISNUMBER(N312),N312,""))</f>
        <v/>
      </c>
      <c r="G312" s="10" t="n"/>
      <c r="H312" s="6">
        <f>IF(G312="","",IFERROR(VLOOKUP(G312,MOT,3,FALSE),"código inválido"))</f>
        <v/>
      </c>
      <c r="I312" s="10" t="n"/>
      <c r="J312" s="16" t="n"/>
      <c r="K312" s="16" t="n"/>
      <c r="L312" s="16" t="n"/>
      <c r="M312" s="16" t="n"/>
      <c r="N312" s="10" t="n"/>
      <c r="O312" s="6">
        <f>IF(G312="","",IFERROR(VLOOKUP(G312,MOT,2,FALSE),"código inválido"))</f>
        <v/>
      </c>
      <c r="P312" s="12">
        <f>IF(ISNUMBER(J312),COUNT(J$6:J312),"")</f>
        <v/>
      </c>
    </row>
    <row r="313">
      <c r="A313" s="13" t="n"/>
      <c r="B313" s="10" t="n"/>
      <c r="C313" s="10" t="n"/>
      <c r="D313" s="14" t="n"/>
      <c r="E313" s="14" t="n"/>
      <c r="F313" s="15">
        <f>IF(AND(ISNUMBER(D313),ISNUMBER(E313)),ROUND(IF(E313&lt;D313,E313+1-D313,E313-D313)*1440,2),IF(ISNUMBER(N313),N313,""))</f>
        <v/>
      </c>
      <c r="G313" s="10" t="n"/>
      <c r="H313" s="6">
        <f>IF(G313="","",IFERROR(VLOOKUP(G313,MOT,3,FALSE),"código inválido"))</f>
        <v/>
      </c>
      <c r="I313" s="10" t="n"/>
      <c r="J313" s="16" t="n"/>
      <c r="K313" s="16" t="n"/>
      <c r="L313" s="16" t="n"/>
      <c r="M313" s="16" t="n"/>
      <c r="N313" s="10" t="n"/>
      <c r="O313" s="6">
        <f>IF(G313="","",IFERROR(VLOOKUP(G313,MOT,2,FALSE),"código inválido"))</f>
        <v/>
      </c>
      <c r="P313" s="12">
        <f>IF(ISNUMBER(J313),COUNT(J$6:J313),"")</f>
        <v/>
      </c>
    </row>
    <row r="314">
      <c r="A314" s="13" t="n"/>
      <c r="B314" s="10" t="n"/>
      <c r="C314" s="10" t="n"/>
      <c r="D314" s="14" t="n"/>
      <c r="E314" s="14" t="n"/>
      <c r="F314" s="15">
        <f>IF(AND(ISNUMBER(D314),ISNUMBER(E314)),ROUND(IF(E314&lt;D314,E314+1-D314,E314-D314)*1440,2),IF(ISNUMBER(N314),N314,""))</f>
        <v/>
      </c>
      <c r="G314" s="10" t="n"/>
      <c r="H314" s="6">
        <f>IF(G314="","",IFERROR(VLOOKUP(G314,MOT,3,FALSE),"código inválido"))</f>
        <v/>
      </c>
      <c r="I314" s="10" t="n"/>
      <c r="J314" s="16" t="n"/>
      <c r="K314" s="16" t="n"/>
      <c r="L314" s="16" t="n"/>
      <c r="M314" s="16" t="n"/>
      <c r="N314" s="10" t="n"/>
      <c r="O314" s="6">
        <f>IF(G314="","",IFERROR(VLOOKUP(G314,MOT,2,FALSE),"código inválido"))</f>
        <v/>
      </c>
      <c r="P314" s="12">
        <f>IF(ISNUMBER(J314),COUNT(J$6:J314),"")</f>
        <v/>
      </c>
    </row>
    <row r="315">
      <c r="A315" s="13" t="n"/>
      <c r="B315" s="10" t="n"/>
      <c r="C315" s="10" t="n"/>
      <c r="D315" s="14" t="n"/>
      <c r="E315" s="14" t="n"/>
      <c r="F315" s="15">
        <f>IF(AND(ISNUMBER(D315),ISNUMBER(E315)),ROUND(IF(E315&lt;D315,E315+1-D315,E315-D315)*1440,2),IF(ISNUMBER(N315),N315,""))</f>
        <v/>
      </c>
      <c r="G315" s="10" t="n"/>
      <c r="H315" s="6">
        <f>IF(G315="","",IFERROR(VLOOKUP(G315,MOT,3,FALSE),"código inválido"))</f>
        <v/>
      </c>
      <c r="I315" s="10" t="n"/>
      <c r="J315" s="16" t="n"/>
      <c r="K315" s="16" t="n"/>
      <c r="L315" s="16" t="n"/>
      <c r="M315" s="16" t="n"/>
      <c r="N315" s="10" t="n"/>
      <c r="O315" s="6">
        <f>IF(G315="","",IFERROR(VLOOKUP(G315,MOT,2,FALSE),"código inválido"))</f>
        <v/>
      </c>
      <c r="P315" s="12">
        <f>IF(ISNUMBER(J315),COUNT(J$6:J315),"")</f>
        <v/>
      </c>
    </row>
    <row r="316">
      <c r="A316" s="13" t="n"/>
      <c r="B316" s="10" t="n"/>
      <c r="C316" s="10" t="n"/>
      <c r="D316" s="14" t="n"/>
      <c r="E316" s="14" t="n"/>
      <c r="F316" s="15">
        <f>IF(AND(ISNUMBER(D316),ISNUMBER(E316)),ROUND(IF(E316&lt;D316,E316+1-D316,E316-D316)*1440,2),IF(ISNUMBER(N316),N316,""))</f>
        <v/>
      </c>
      <c r="G316" s="10" t="n"/>
      <c r="H316" s="6">
        <f>IF(G316="","",IFERROR(VLOOKUP(G316,MOT,3,FALSE),"código inválido"))</f>
        <v/>
      </c>
      <c r="I316" s="10" t="n"/>
      <c r="J316" s="16" t="n"/>
      <c r="K316" s="16" t="n"/>
      <c r="L316" s="16" t="n"/>
      <c r="M316" s="16" t="n"/>
      <c r="N316" s="10" t="n"/>
      <c r="O316" s="6">
        <f>IF(G316="","",IFERROR(VLOOKUP(G316,MOT,2,FALSE),"código inválido"))</f>
        <v/>
      </c>
      <c r="P316" s="12">
        <f>IF(ISNUMBER(J316),COUNT(J$6:J316),"")</f>
        <v/>
      </c>
    </row>
    <row r="317">
      <c r="A317" s="13" t="n"/>
      <c r="B317" s="10" t="n"/>
      <c r="C317" s="10" t="n"/>
      <c r="D317" s="14" t="n"/>
      <c r="E317" s="14" t="n"/>
      <c r="F317" s="15">
        <f>IF(AND(ISNUMBER(D317),ISNUMBER(E317)),ROUND(IF(E317&lt;D317,E317+1-D317,E317-D317)*1440,2),IF(ISNUMBER(N317),N317,""))</f>
        <v/>
      </c>
      <c r="G317" s="10" t="n"/>
      <c r="H317" s="6">
        <f>IF(G317="","",IFERROR(VLOOKUP(G317,MOT,3,FALSE),"código inválido"))</f>
        <v/>
      </c>
      <c r="I317" s="10" t="n"/>
      <c r="J317" s="16" t="n"/>
      <c r="K317" s="16" t="n"/>
      <c r="L317" s="16" t="n"/>
      <c r="M317" s="16" t="n"/>
      <c r="N317" s="10" t="n"/>
      <c r="O317" s="6">
        <f>IF(G317="","",IFERROR(VLOOKUP(G317,MOT,2,FALSE),"código inválido"))</f>
        <v/>
      </c>
      <c r="P317" s="12">
        <f>IF(ISNUMBER(J317),COUNT(J$6:J317),"")</f>
        <v/>
      </c>
    </row>
    <row r="318">
      <c r="A318" s="13" t="n"/>
      <c r="B318" s="10" t="n"/>
      <c r="C318" s="10" t="n"/>
      <c r="D318" s="14" t="n"/>
      <c r="E318" s="14" t="n"/>
      <c r="F318" s="15">
        <f>IF(AND(ISNUMBER(D318),ISNUMBER(E318)),ROUND(IF(E318&lt;D318,E318+1-D318,E318-D318)*1440,2),IF(ISNUMBER(N318),N318,""))</f>
        <v/>
      </c>
      <c r="G318" s="10" t="n"/>
      <c r="H318" s="6">
        <f>IF(G318="","",IFERROR(VLOOKUP(G318,MOT,3,FALSE),"código inválido"))</f>
        <v/>
      </c>
      <c r="I318" s="10" t="n"/>
      <c r="J318" s="16" t="n"/>
      <c r="K318" s="16" t="n"/>
      <c r="L318" s="16" t="n"/>
      <c r="M318" s="16" t="n"/>
      <c r="N318" s="10" t="n"/>
      <c r="O318" s="6">
        <f>IF(G318="","",IFERROR(VLOOKUP(G318,MOT,2,FALSE),"código inválido"))</f>
        <v/>
      </c>
      <c r="P318" s="12">
        <f>IF(ISNUMBER(J318),COUNT(J$6:J318),"")</f>
        <v/>
      </c>
    </row>
    <row r="319">
      <c r="A319" s="13" t="n"/>
      <c r="B319" s="10" t="n"/>
      <c r="C319" s="10" t="n"/>
      <c r="D319" s="14" t="n"/>
      <c r="E319" s="14" t="n"/>
      <c r="F319" s="15">
        <f>IF(AND(ISNUMBER(D319),ISNUMBER(E319)),ROUND(IF(E319&lt;D319,E319+1-D319,E319-D319)*1440,2),IF(ISNUMBER(N319),N319,""))</f>
        <v/>
      </c>
      <c r="G319" s="10" t="n"/>
      <c r="H319" s="6">
        <f>IF(G319="","",IFERROR(VLOOKUP(G319,MOT,3,FALSE),"código inválido"))</f>
        <v/>
      </c>
      <c r="I319" s="10" t="n"/>
      <c r="J319" s="16" t="n"/>
      <c r="K319" s="16" t="n"/>
      <c r="L319" s="16" t="n"/>
      <c r="M319" s="16" t="n"/>
      <c r="N319" s="10" t="n"/>
      <c r="O319" s="6">
        <f>IF(G319="","",IFERROR(VLOOKUP(G319,MOT,2,FALSE),"código inválido"))</f>
        <v/>
      </c>
      <c r="P319" s="12">
        <f>IF(ISNUMBER(J319),COUNT(J$6:J319),"")</f>
        <v/>
      </c>
    </row>
    <row r="320">
      <c r="A320" s="13" t="n"/>
      <c r="B320" s="10" t="n"/>
      <c r="C320" s="10" t="n"/>
      <c r="D320" s="14" t="n"/>
      <c r="E320" s="14" t="n"/>
      <c r="F320" s="15">
        <f>IF(AND(ISNUMBER(D320),ISNUMBER(E320)),ROUND(IF(E320&lt;D320,E320+1-D320,E320-D320)*1440,2),IF(ISNUMBER(N320),N320,""))</f>
        <v/>
      </c>
      <c r="G320" s="10" t="n"/>
      <c r="H320" s="6">
        <f>IF(G320="","",IFERROR(VLOOKUP(G320,MOT,3,FALSE),"código inválido"))</f>
        <v/>
      </c>
      <c r="I320" s="10" t="n"/>
      <c r="J320" s="16" t="n"/>
      <c r="K320" s="16" t="n"/>
      <c r="L320" s="16" t="n"/>
      <c r="M320" s="16" t="n"/>
      <c r="N320" s="10" t="n"/>
      <c r="O320" s="6">
        <f>IF(G320="","",IFERROR(VLOOKUP(G320,MOT,2,FALSE),"código inválido"))</f>
        <v/>
      </c>
      <c r="P320" s="12">
        <f>IF(ISNUMBER(J320),COUNT(J$6:J320),"")</f>
        <v/>
      </c>
    </row>
    <row r="321">
      <c r="A321" s="13" t="n"/>
      <c r="B321" s="10" t="n"/>
      <c r="C321" s="10" t="n"/>
      <c r="D321" s="14" t="n"/>
      <c r="E321" s="14" t="n"/>
      <c r="F321" s="15">
        <f>IF(AND(ISNUMBER(D321),ISNUMBER(E321)),ROUND(IF(E321&lt;D321,E321+1-D321,E321-D321)*1440,2),IF(ISNUMBER(N321),N321,""))</f>
        <v/>
      </c>
      <c r="G321" s="10" t="n"/>
      <c r="H321" s="6">
        <f>IF(G321="","",IFERROR(VLOOKUP(G321,MOT,3,FALSE),"código inválido"))</f>
        <v/>
      </c>
      <c r="I321" s="10" t="n"/>
      <c r="J321" s="16" t="n"/>
      <c r="K321" s="16" t="n"/>
      <c r="L321" s="16" t="n"/>
      <c r="M321" s="16" t="n"/>
      <c r="N321" s="10" t="n"/>
      <c r="O321" s="6">
        <f>IF(G321="","",IFERROR(VLOOKUP(G321,MOT,2,FALSE),"código inválido"))</f>
        <v/>
      </c>
      <c r="P321" s="12">
        <f>IF(ISNUMBER(J321),COUNT(J$6:J321),"")</f>
        <v/>
      </c>
    </row>
    <row r="322">
      <c r="A322" s="13" t="n"/>
      <c r="B322" s="10" t="n"/>
      <c r="C322" s="10" t="n"/>
      <c r="D322" s="14" t="n"/>
      <c r="E322" s="14" t="n"/>
      <c r="F322" s="15">
        <f>IF(AND(ISNUMBER(D322),ISNUMBER(E322)),ROUND(IF(E322&lt;D322,E322+1-D322,E322-D322)*1440,2),IF(ISNUMBER(N322),N322,""))</f>
        <v/>
      </c>
      <c r="G322" s="10" t="n"/>
      <c r="H322" s="6">
        <f>IF(G322="","",IFERROR(VLOOKUP(G322,MOT,3,FALSE),"código inválido"))</f>
        <v/>
      </c>
      <c r="I322" s="10" t="n"/>
      <c r="J322" s="16" t="n"/>
      <c r="K322" s="16" t="n"/>
      <c r="L322" s="16" t="n"/>
      <c r="M322" s="16" t="n"/>
      <c r="N322" s="10" t="n"/>
      <c r="O322" s="6">
        <f>IF(G322="","",IFERROR(VLOOKUP(G322,MOT,2,FALSE),"código inválido"))</f>
        <v/>
      </c>
      <c r="P322" s="12">
        <f>IF(ISNUMBER(J322),COUNT(J$6:J322),"")</f>
        <v/>
      </c>
    </row>
    <row r="323">
      <c r="A323" s="13" t="n"/>
      <c r="B323" s="10" t="n"/>
      <c r="C323" s="10" t="n"/>
      <c r="D323" s="14" t="n"/>
      <c r="E323" s="14" t="n"/>
      <c r="F323" s="15">
        <f>IF(AND(ISNUMBER(D323),ISNUMBER(E323)),ROUND(IF(E323&lt;D323,E323+1-D323,E323-D323)*1440,2),IF(ISNUMBER(N323),N323,""))</f>
        <v/>
      </c>
      <c r="G323" s="10" t="n"/>
      <c r="H323" s="6">
        <f>IF(G323="","",IFERROR(VLOOKUP(G323,MOT,3,FALSE),"código inválido"))</f>
        <v/>
      </c>
      <c r="I323" s="10" t="n"/>
      <c r="J323" s="16" t="n"/>
      <c r="K323" s="16" t="n"/>
      <c r="L323" s="16" t="n"/>
      <c r="M323" s="16" t="n"/>
      <c r="N323" s="10" t="n"/>
      <c r="O323" s="6">
        <f>IF(G323="","",IFERROR(VLOOKUP(G323,MOT,2,FALSE),"código inválido"))</f>
        <v/>
      </c>
      <c r="P323" s="12">
        <f>IF(ISNUMBER(J323),COUNT(J$6:J323),"")</f>
        <v/>
      </c>
    </row>
    <row r="324">
      <c r="A324" s="13" t="n"/>
      <c r="B324" s="10" t="n"/>
      <c r="C324" s="10" t="n"/>
      <c r="D324" s="14" t="n"/>
      <c r="E324" s="14" t="n"/>
      <c r="F324" s="15">
        <f>IF(AND(ISNUMBER(D324),ISNUMBER(E324)),ROUND(IF(E324&lt;D324,E324+1-D324,E324-D324)*1440,2),IF(ISNUMBER(N324),N324,""))</f>
        <v/>
      </c>
      <c r="G324" s="10" t="n"/>
      <c r="H324" s="6">
        <f>IF(G324="","",IFERROR(VLOOKUP(G324,MOT,3,FALSE),"código inválido"))</f>
        <v/>
      </c>
      <c r="I324" s="10" t="n"/>
      <c r="J324" s="16" t="n"/>
      <c r="K324" s="16" t="n"/>
      <c r="L324" s="16" t="n"/>
      <c r="M324" s="16" t="n"/>
      <c r="N324" s="10" t="n"/>
      <c r="O324" s="6">
        <f>IF(G324="","",IFERROR(VLOOKUP(G324,MOT,2,FALSE),"código inválido"))</f>
        <v/>
      </c>
      <c r="P324" s="12">
        <f>IF(ISNUMBER(J324),COUNT(J$6:J324),"")</f>
        <v/>
      </c>
    </row>
    <row r="325">
      <c r="A325" s="13" t="n"/>
      <c r="B325" s="10" t="n"/>
      <c r="C325" s="10" t="n"/>
      <c r="D325" s="14" t="n"/>
      <c r="E325" s="14" t="n"/>
      <c r="F325" s="15">
        <f>IF(AND(ISNUMBER(D325),ISNUMBER(E325)),ROUND(IF(E325&lt;D325,E325+1-D325,E325-D325)*1440,2),IF(ISNUMBER(N325),N325,""))</f>
        <v/>
      </c>
      <c r="G325" s="10" t="n"/>
      <c r="H325" s="6">
        <f>IF(G325="","",IFERROR(VLOOKUP(G325,MOT,3,FALSE),"código inválido"))</f>
        <v/>
      </c>
      <c r="I325" s="10" t="n"/>
      <c r="J325" s="16" t="n"/>
      <c r="K325" s="16" t="n"/>
      <c r="L325" s="16" t="n"/>
      <c r="M325" s="16" t="n"/>
      <c r="N325" s="10" t="n"/>
      <c r="O325" s="6">
        <f>IF(G325="","",IFERROR(VLOOKUP(G325,MOT,2,FALSE),"código inválido"))</f>
        <v/>
      </c>
      <c r="P325" s="12">
        <f>IF(ISNUMBER(J325),COUNT(J$6:J325),"")</f>
        <v/>
      </c>
    </row>
    <row r="326">
      <c r="A326" s="13" t="n"/>
      <c r="B326" s="10" t="n"/>
      <c r="C326" s="10" t="n"/>
      <c r="D326" s="14" t="n"/>
      <c r="E326" s="14" t="n"/>
      <c r="F326" s="15">
        <f>IF(AND(ISNUMBER(D326),ISNUMBER(E326)),ROUND(IF(E326&lt;D326,E326+1-D326,E326-D326)*1440,2),IF(ISNUMBER(N326),N326,""))</f>
        <v/>
      </c>
      <c r="G326" s="10" t="n"/>
      <c r="H326" s="6">
        <f>IF(G326="","",IFERROR(VLOOKUP(G326,MOT,3,FALSE),"código inválido"))</f>
        <v/>
      </c>
      <c r="I326" s="10" t="n"/>
      <c r="J326" s="16" t="n"/>
      <c r="K326" s="16" t="n"/>
      <c r="L326" s="16" t="n"/>
      <c r="M326" s="16" t="n"/>
      <c r="N326" s="10" t="n"/>
      <c r="O326" s="6">
        <f>IF(G326="","",IFERROR(VLOOKUP(G326,MOT,2,FALSE),"código inválido"))</f>
        <v/>
      </c>
      <c r="P326" s="12">
        <f>IF(ISNUMBER(J326),COUNT(J$6:J326),"")</f>
        <v/>
      </c>
    </row>
    <row r="327">
      <c r="A327" s="13" t="n"/>
      <c r="B327" s="10" t="n"/>
      <c r="C327" s="10" t="n"/>
      <c r="D327" s="14" t="n"/>
      <c r="E327" s="14" t="n"/>
      <c r="F327" s="15">
        <f>IF(AND(ISNUMBER(D327),ISNUMBER(E327)),ROUND(IF(E327&lt;D327,E327+1-D327,E327-D327)*1440,2),IF(ISNUMBER(N327),N327,""))</f>
        <v/>
      </c>
      <c r="G327" s="10" t="n"/>
      <c r="H327" s="6">
        <f>IF(G327="","",IFERROR(VLOOKUP(G327,MOT,3,FALSE),"código inválido"))</f>
        <v/>
      </c>
      <c r="I327" s="10" t="n"/>
      <c r="J327" s="16" t="n"/>
      <c r="K327" s="16" t="n"/>
      <c r="L327" s="16" t="n"/>
      <c r="M327" s="16" t="n"/>
      <c r="N327" s="10" t="n"/>
      <c r="O327" s="6">
        <f>IF(G327="","",IFERROR(VLOOKUP(G327,MOT,2,FALSE),"código inválido"))</f>
        <v/>
      </c>
      <c r="P327" s="12">
        <f>IF(ISNUMBER(J327),COUNT(J$6:J327),"")</f>
        <v/>
      </c>
    </row>
    <row r="328">
      <c r="A328" s="13" t="n"/>
      <c r="B328" s="10" t="n"/>
      <c r="C328" s="10" t="n"/>
      <c r="D328" s="14" t="n"/>
      <c r="E328" s="14" t="n"/>
      <c r="F328" s="15">
        <f>IF(AND(ISNUMBER(D328),ISNUMBER(E328)),ROUND(IF(E328&lt;D328,E328+1-D328,E328-D328)*1440,2),IF(ISNUMBER(N328),N328,""))</f>
        <v/>
      </c>
      <c r="G328" s="10" t="n"/>
      <c r="H328" s="6">
        <f>IF(G328="","",IFERROR(VLOOKUP(G328,MOT,3,FALSE),"código inválido"))</f>
        <v/>
      </c>
      <c r="I328" s="10" t="n"/>
      <c r="J328" s="16" t="n"/>
      <c r="K328" s="16" t="n"/>
      <c r="L328" s="16" t="n"/>
      <c r="M328" s="16" t="n"/>
      <c r="N328" s="10" t="n"/>
      <c r="O328" s="6">
        <f>IF(G328="","",IFERROR(VLOOKUP(G328,MOT,2,FALSE),"código inválido"))</f>
        <v/>
      </c>
      <c r="P328" s="12">
        <f>IF(ISNUMBER(J328),COUNT(J$6:J328),"")</f>
        <v/>
      </c>
    </row>
    <row r="329">
      <c r="A329" s="13" t="n"/>
      <c r="B329" s="10" t="n"/>
      <c r="C329" s="10" t="n"/>
      <c r="D329" s="14" t="n"/>
      <c r="E329" s="14" t="n"/>
      <c r="F329" s="15">
        <f>IF(AND(ISNUMBER(D329),ISNUMBER(E329)),ROUND(IF(E329&lt;D329,E329+1-D329,E329-D329)*1440,2),IF(ISNUMBER(N329),N329,""))</f>
        <v/>
      </c>
      <c r="G329" s="10" t="n"/>
      <c r="H329" s="6">
        <f>IF(G329="","",IFERROR(VLOOKUP(G329,MOT,3,FALSE),"código inválido"))</f>
        <v/>
      </c>
      <c r="I329" s="10" t="n"/>
      <c r="J329" s="16" t="n"/>
      <c r="K329" s="16" t="n"/>
      <c r="L329" s="16" t="n"/>
      <c r="M329" s="16" t="n"/>
      <c r="N329" s="10" t="n"/>
      <c r="O329" s="6">
        <f>IF(G329="","",IFERROR(VLOOKUP(G329,MOT,2,FALSE),"código inválido"))</f>
        <v/>
      </c>
      <c r="P329" s="12">
        <f>IF(ISNUMBER(J329),COUNT(J$6:J329),"")</f>
        <v/>
      </c>
    </row>
    <row r="330">
      <c r="A330" s="13" t="n"/>
      <c r="B330" s="10" t="n"/>
      <c r="C330" s="10" t="n"/>
      <c r="D330" s="14" t="n"/>
      <c r="E330" s="14" t="n"/>
      <c r="F330" s="15">
        <f>IF(AND(ISNUMBER(D330),ISNUMBER(E330)),ROUND(IF(E330&lt;D330,E330+1-D330,E330-D330)*1440,2),IF(ISNUMBER(N330),N330,""))</f>
        <v/>
      </c>
      <c r="G330" s="10" t="n"/>
      <c r="H330" s="6">
        <f>IF(G330="","",IFERROR(VLOOKUP(G330,MOT,3,FALSE),"código inválido"))</f>
        <v/>
      </c>
      <c r="I330" s="10" t="n"/>
      <c r="J330" s="16" t="n"/>
      <c r="K330" s="16" t="n"/>
      <c r="L330" s="16" t="n"/>
      <c r="M330" s="16" t="n"/>
      <c r="N330" s="10" t="n"/>
      <c r="O330" s="6">
        <f>IF(G330="","",IFERROR(VLOOKUP(G330,MOT,2,FALSE),"código inválido"))</f>
        <v/>
      </c>
      <c r="P330" s="12">
        <f>IF(ISNUMBER(J330),COUNT(J$6:J330),"")</f>
        <v/>
      </c>
    </row>
    <row r="331">
      <c r="A331" s="13" t="n"/>
      <c r="B331" s="10" t="n"/>
      <c r="C331" s="10" t="n"/>
      <c r="D331" s="14" t="n"/>
      <c r="E331" s="14" t="n"/>
      <c r="F331" s="15">
        <f>IF(AND(ISNUMBER(D331),ISNUMBER(E331)),ROUND(IF(E331&lt;D331,E331+1-D331,E331-D331)*1440,2),IF(ISNUMBER(N331),N331,""))</f>
        <v/>
      </c>
      <c r="G331" s="10" t="n"/>
      <c r="H331" s="6">
        <f>IF(G331="","",IFERROR(VLOOKUP(G331,MOT,3,FALSE),"código inválido"))</f>
        <v/>
      </c>
      <c r="I331" s="10" t="n"/>
      <c r="J331" s="16" t="n"/>
      <c r="K331" s="16" t="n"/>
      <c r="L331" s="16" t="n"/>
      <c r="M331" s="16" t="n"/>
      <c r="N331" s="10" t="n"/>
      <c r="O331" s="6">
        <f>IF(G331="","",IFERROR(VLOOKUP(G331,MOT,2,FALSE),"código inválido"))</f>
        <v/>
      </c>
      <c r="P331" s="12">
        <f>IF(ISNUMBER(J331),COUNT(J$6:J331),"")</f>
        <v/>
      </c>
    </row>
    <row r="332">
      <c r="A332" s="13" t="n"/>
      <c r="B332" s="10" t="n"/>
      <c r="C332" s="10" t="n"/>
      <c r="D332" s="14" t="n"/>
      <c r="E332" s="14" t="n"/>
      <c r="F332" s="15">
        <f>IF(AND(ISNUMBER(D332),ISNUMBER(E332)),ROUND(IF(E332&lt;D332,E332+1-D332,E332-D332)*1440,2),IF(ISNUMBER(N332),N332,""))</f>
        <v/>
      </c>
      <c r="G332" s="10" t="n"/>
      <c r="H332" s="6">
        <f>IF(G332="","",IFERROR(VLOOKUP(G332,MOT,3,FALSE),"código inválido"))</f>
        <v/>
      </c>
      <c r="I332" s="10" t="n"/>
      <c r="J332" s="16" t="n"/>
      <c r="K332" s="16" t="n"/>
      <c r="L332" s="16" t="n"/>
      <c r="M332" s="16" t="n"/>
      <c r="N332" s="10" t="n"/>
      <c r="O332" s="6">
        <f>IF(G332="","",IFERROR(VLOOKUP(G332,MOT,2,FALSE),"código inválido"))</f>
        <v/>
      </c>
      <c r="P332" s="12">
        <f>IF(ISNUMBER(J332),COUNT(J$6:J332),"")</f>
        <v/>
      </c>
    </row>
    <row r="333">
      <c r="A333" s="13" t="n"/>
      <c r="B333" s="10" t="n"/>
      <c r="C333" s="10" t="n"/>
      <c r="D333" s="14" t="n"/>
      <c r="E333" s="14" t="n"/>
      <c r="F333" s="15">
        <f>IF(AND(ISNUMBER(D333),ISNUMBER(E333)),ROUND(IF(E333&lt;D333,E333+1-D333,E333-D333)*1440,2),IF(ISNUMBER(N333),N333,""))</f>
        <v/>
      </c>
      <c r="G333" s="10" t="n"/>
      <c r="H333" s="6">
        <f>IF(G333="","",IFERROR(VLOOKUP(G333,MOT,3,FALSE),"código inválido"))</f>
        <v/>
      </c>
      <c r="I333" s="10" t="n"/>
      <c r="J333" s="16" t="n"/>
      <c r="K333" s="16" t="n"/>
      <c r="L333" s="16" t="n"/>
      <c r="M333" s="16" t="n"/>
      <c r="N333" s="10" t="n"/>
      <c r="O333" s="6">
        <f>IF(G333="","",IFERROR(VLOOKUP(G333,MOT,2,FALSE),"código inválido"))</f>
        <v/>
      </c>
      <c r="P333" s="12">
        <f>IF(ISNUMBER(J333),COUNT(J$6:J333),"")</f>
        <v/>
      </c>
    </row>
    <row r="334">
      <c r="A334" s="13" t="n"/>
      <c r="B334" s="10" t="n"/>
      <c r="C334" s="10" t="n"/>
      <c r="D334" s="14" t="n"/>
      <c r="E334" s="14" t="n"/>
      <c r="F334" s="15">
        <f>IF(AND(ISNUMBER(D334),ISNUMBER(E334)),ROUND(IF(E334&lt;D334,E334+1-D334,E334-D334)*1440,2),IF(ISNUMBER(N334),N334,""))</f>
        <v/>
      </c>
      <c r="G334" s="10" t="n"/>
      <c r="H334" s="6">
        <f>IF(G334="","",IFERROR(VLOOKUP(G334,MOT,3,FALSE),"código inválido"))</f>
        <v/>
      </c>
      <c r="I334" s="10" t="n"/>
      <c r="J334" s="16" t="n"/>
      <c r="K334" s="16" t="n"/>
      <c r="L334" s="16" t="n"/>
      <c r="M334" s="16" t="n"/>
      <c r="N334" s="10" t="n"/>
      <c r="O334" s="6">
        <f>IF(G334="","",IFERROR(VLOOKUP(G334,MOT,2,FALSE),"código inválido"))</f>
        <v/>
      </c>
      <c r="P334" s="12">
        <f>IF(ISNUMBER(J334),COUNT(J$6:J334),"")</f>
        <v/>
      </c>
    </row>
    <row r="335">
      <c r="A335" s="13" t="n"/>
      <c r="B335" s="10" t="n"/>
      <c r="C335" s="10" t="n"/>
      <c r="D335" s="14" t="n"/>
      <c r="E335" s="14" t="n"/>
      <c r="F335" s="15">
        <f>IF(AND(ISNUMBER(D335),ISNUMBER(E335)),ROUND(IF(E335&lt;D335,E335+1-D335,E335-D335)*1440,2),IF(ISNUMBER(N335),N335,""))</f>
        <v/>
      </c>
      <c r="G335" s="10" t="n"/>
      <c r="H335" s="6">
        <f>IF(G335="","",IFERROR(VLOOKUP(G335,MOT,3,FALSE),"código inválido"))</f>
        <v/>
      </c>
      <c r="I335" s="10" t="n"/>
      <c r="J335" s="16" t="n"/>
      <c r="K335" s="16" t="n"/>
      <c r="L335" s="16" t="n"/>
      <c r="M335" s="16" t="n"/>
      <c r="N335" s="10" t="n"/>
      <c r="O335" s="6">
        <f>IF(G335="","",IFERROR(VLOOKUP(G335,MOT,2,FALSE),"código inválido"))</f>
        <v/>
      </c>
      <c r="P335" s="12">
        <f>IF(ISNUMBER(J335),COUNT(J$6:J335),"")</f>
        <v/>
      </c>
    </row>
    <row r="336">
      <c r="A336" s="13" t="n"/>
      <c r="B336" s="10" t="n"/>
      <c r="C336" s="10" t="n"/>
      <c r="D336" s="14" t="n"/>
      <c r="E336" s="14" t="n"/>
      <c r="F336" s="15">
        <f>IF(AND(ISNUMBER(D336),ISNUMBER(E336)),ROUND(IF(E336&lt;D336,E336+1-D336,E336-D336)*1440,2),IF(ISNUMBER(N336),N336,""))</f>
        <v/>
      </c>
      <c r="G336" s="10" t="n"/>
      <c r="H336" s="6">
        <f>IF(G336="","",IFERROR(VLOOKUP(G336,MOT,3,FALSE),"código inválido"))</f>
        <v/>
      </c>
      <c r="I336" s="10" t="n"/>
      <c r="J336" s="16" t="n"/>
      <c r="K336" s="16" t="n"/>
      <c r="L336" s="16" t="n"/>
      <c r="M336" s="16" t="n"/>
      <c r="N336" s="10" t="n"/>
      <c r="O336" s="6">
        <f>IF(G336="","",IFERROR(VLOOKUP(G336,MOT,2,FALSE),"código inválido"))</f>
        <v/>
      </c>
      <c r="P336" s="12">
        <f>IF(ISNUMBER(J336),COUNT(J$6:J336),"")</f>
        <v/>
      </c>
    </row>
    <row r="337">
      <c r="A337" s="13" t="n"/>
      <c r="B337" s="10" t="n"/>
      <c r="C337" s="10" t="n"/>
      <c r="D337" s="14" t="n"/>
      <c r="E337" s="14" t="n"/>
      <c r="F337" s="15">
        <f>IF(AND(ISNUMBER(D337),ISNUMBER(E337)),ROUND(IF(E337&lt;D337,E337+1-D337,E337-D337)*1440,2),IF(ISNUMBER(N337),N337,""))</f>
        <v/>
      </c>
      <c r="G337" s="10" t="n"/>
      <c r="H337" s="6">
        <f>IF(G337="","",IFERROR(VLOOKUP(G337,MOT,3,FALSE),"código inválido"))</f>
        <v/>
      </c>
      <c r="I337" s="10" t="n"/>
      <c r="J337" s="16" t="n"/>
      <c r="K337" s="16" t="n"/>
      <c r="L337" s="16" t="n"/>
      <c r="M337" s="16" t="n"/>
      <c r="N337" s="10" t="n"/>
      <c r="O337" s="6">
        <f>IF(G337="","",IFERROR(VLOOKUP(G337,MOT,2,FALSE),"código inválido"))</f>
        <v/>
      </c>
      <c r="P337" s="12">
        <f>IF(ISNUMBER(J337),COUNT(J$6:J337),"")</f>
        <v/>
      </c>
    </row>
    <row r="338">
      <c r="A338" s="13" t="n"/>
      <c r="B338" s="10" t="n"/>
      <c r="C338" s="10" t="n"/>
      <c r="D338" s="14" t="n"/>
      <c r="E338" s="14" t="n"/>
      <c r="F338" s="15">
        <f>IF(AND(ISNUMBER(D338),ISNUMBER(E338)),ROUND(IF(E338&lt;D338,E338+1-D338,E338-D338)*1440,2),IF(ISNUMBER(N338),N338,""))</f>
        <v/>
      </c>
      <c r="G338" s="10" t="n"/>
      <c r="H338" s="6">
        <f>IF(G338="","",IFERROR(VLOOKUP(G338,MOT,3,FALSE),"código inválido"))</f>
        <v/>
      </c>
      <c r="I338" s="10" t="n"/>
      <c r="J338" s="16" t="n"/>
      <c r="K338" s="16" t="n"/>
      <c r="L338" s="16" t="n"/>
      <c r="M338" s="16" t="n"/>
      <c r="N338" s="10" t="n"/>
      <c r="O338" s="6">
        <f>IF(G338="","",IFERROR(VLOOKUP(G338,MOT,2,FALSE),"código inválido"))</f>
        <v/>
      </c>
      <c r="P338" s="12">
        <f>IF(ISNUMBER(J338),COUNT(J$6:J338),"")</f>
        <v/>
      </c>
    </row>
    <row r="339">
      <c r="A339" s="13" t="n"/>
      <c r="B339" s="10" t="n"/>
      <c r="C339" s="10" t="n"/>
      <c r="D339" s="14" t="n"/>
      <c r="E339" s="14" t="n"/>
      <c r="F339" s="15">
        <f>IF(AND(ISNUMBER(D339),ISNUMBER(E339)),ROUND(IF(E339&lt;D339,E339+1-D339,E339-D339)*1440,2),IF(ISNUMBER(N339),N339,""))</f>
        <v/>
      </c>
      <c r="G339" s="10" t="n"/>
      <c r="H339" s="6">
        <f>IF(G339="","",IFERROR(VLOOKUP(G339,MOT,3,FALSE),"código inválido"))</f>
        <v/>
      </c>
      <c r="I339" s="10" t="n"/>
      <c r="J339" s="16" t="n"/>
      <c r="K339" s="16" t="n"/>
      <c r="L339" s="16" t="n"/>
      <c r="M339" s="16" t="n"/>
      <c r="N339" s="10" t="n"/>
      <c r="O339" s="6">
        <f>IF(G339="","",IFERROR(VLOOKUP(G339,MOT,2,FALSE),"código inválido"))</f>
        <v/>
      </c>
      <c r="P339" s="12">
        <f>IF(ISNUMBER(J339),COUNT(J$6:J339),"")</f>
        <v/>
      </c>
    </row>
    <row r="340">
      <c r="A340" s="13" t="n"/>
      <c r="B340" s="10" t="n"/>
      <c r="C340" s="10" t="n"/>
      <c r="D340" s="14" t="n"/>
      <c r="E340" s="14" t="n"/>
      <c r="F340" s="15">
        <f>IF(AND(ISNUMBER(D340),ISNUMBER(E340)),ROUND(IF(E340&lt;D340,E340+1-D340,E340-D340)*1440,2),IF(ISNUMBER(N340),N340,""))</f>
        <v/>
      </c>
      <c r="G340" s="10" t="n"/>
      <c r="H340" s="6">
        <f>IF(G340="","",IFERROR(VLOOKUP(G340,MOT,3,FALSE),"código inválido"))</f>
        <v/>
      </c>
      <c r="I340" s="10" t="n"/>
      <c r="J340" s="16" t="n"/>
      <c r="K340" s="16" t="n"/>
      <c r="L340" s="16" t="n"/>
      <c r="M340" s="16" t="n"/>
      <c r="N340" s="10" t="n"/>
      <c r="O340" s="6">
        <f>IF(G340="","",IFERROR(VLOOKUP(G340,MOT,2,FALSE),"código inválido"))</f>
        <v/>
      </c>
      <c r="P340" s="12">
        <f>IF(ISNUMBER(J340),COUNT(J$6:J340),"")</f>
        <v/>
      </c>
    </row>
    <row r="341">
      <c r="A341" s="13" t="n"/>
      <c r="B341" s="10" t="n"/>
      <c r="C341" s="10" t="n"/>
      <c r="D341" s="14" t="n"/>
      <c r="E341" s="14" t="n"/>
      <c r="F341" s="15">
        <f>IF(AND(ISNUMBER(D341),ISNUMBER(E341)),ROUND(IF(E341&lt;D341,E341+1-D341,E341-D341)*1440,2),IF(ISNUMBER(N341),N341,""))</f>
        <v/>
      </c>
      <c r="G341" s="10" t="n"/>
      <c r="H341" s="6">
        <f>IF(G341="","",IFERROR(VLOOKUP(G341,MOT,3,FALSE),"código inválido"))</f>
        <v/>
      </c>
      <c r="I341" s="10" t="n"/>
      <c r="J341" s="16" t="n"/>
      <c r="K341" s="16" t="n"/>
      <c r="L341" s="16" t="n"/>
      <c r="M341" s="16" t="n"/>
      <c r="N341" s="10" t="n"/>
      <c r="O341" s="6">
        <f>IF(G341="","",IFERROR(VLOOKUP(G341,MOT,2,FALSE),"código inválido"))</f>
        <v/>
      </c>
      <c r="P341" s="12">
        <f>IF(ISNUMBER(J341),COUNT(J$6:J341),"")</f>
        <v/>
      </c>
    </row>
    <row r="342">
      <c r="A342" s="13" t="n"/>
      <c r="B342" s="10" t="n"/>
      <c r="C342" s="10" t="n"/>
      <c r="D342" s="14" t="n"/>
      <c r="E342" s="14" t="n"/>
      <c r="F342" s="15">
        <f>IF(AND(ISNUMBER(D342),ISNUMBER(E342)),ROUND(IF(E342&lt;D342,E342+1-D342,E342-D342)*1440,2),IF(ISNUMBER(N342),N342,""))</f>
        <v/>
      </c>
      <c r="G342" s="10" t="n"/>
      <c r="H342" s="6">
        <f>IF(G342="","",IFERROR(VLOOKUP(G342,MOT,3,FALSE),"código inválido"))</f>
        <v/>
      </c>
      <c r="I342" s="10" t="n"/>
      <c r="J342" s="16" t="n"/>
      <c r="K342" s="16" t="n"/>
      <c r="L342" s="16" t="n"/>
      <c r="M342" s="16" t="n"/>
      <c r="N342" s="10" t="n"/>
      <c r="O342" s="6">
        <f>IF(G342="","",IFERROR(VLOOKUP(G342,MOT,2,FALSE),"código inválido"))</f>
        <v/>
      </c>
      <c r="P342" s="12">
        <f>IF(ISNUMBER(J342),COUNT(J$6:J342),"")</f>
        <v/>
      </c>
    </row>
    <row r="343">
      <c r="A343" s="13" t="n"/>
      <c r="B343" s="10" t="n"/>
      <c r="C343" s="10" t="n"/>
      <c r="D343" s="14" t="n"/>
      <c r="E343" s="14" t="n"/>
      <c r="F343" s="15">
        <f>IF(AND(ISNUMBER(D343),ISNUMBER(E343)),ROUND(IF(E343&lt;D343,E343+1-D343,E343-D343)*1440,2),IF(ISNUMBER(N343),N343,""))</f>
        <v/>
      </c>
      <c r="G343" s="10" t="n"/>
      <c r="H343" s="6">
        <f>IF(G343="","",IFERROR(VLOOKUP(G343,MOT,3,FALSE),"código inválido"))</f>
        <v/>
      </c>
      <c r="I343" s="10" t="n"/>
      <c r="J343" s="16" t="n"/>
      <c r="K343" s="16" t="n"/>
      <c r="L343" s="16" t="n"/>
      <c r="M343" s="16" t="n"/>
      <c r="N343" s="10" t="n"/>
      <c r="O343" s="6">
        <f>IF(G343="","",IFERROR(VLOOKUP(G343,MOT,2,FALSE),"código inválido"))</f>
        <v/>
      </c>
      <c r="P343" s="12">
        <f>IF(ISNUMBER(J343),COUNT(J$6:J343),"")</f>
        <v/>
      </c>
    </row>
    <row r="344">
      <c r="A344" s="13" t="n"/>
      <c r="B344" s="10" t="n"/>
      <c r="C344" s="10" t="n"/>
      <c r="D344" s="14" t="n"/>
      <c r="E344" s="14" t="n"/>
      <c r="F344" s="15">
        <f>IF(AND(ISNUMBER(D344),ISNUMBER(E344)),ROUND(IF(E344&lt;D344,E344+1-D344,E344-D344)*1440,2),IF(ISNUMBER(N344),N344,""))</f>
        <v/>
      </c>
      <c r="G344" s="10" t="n"/>
      <c r="H344" s="6">
        <f>IF(G344="","",IFERROR(VLOOKUP(G344,MOT,3,FALSE),"código inválido"))</f>
        <v/>
      </c>
      <c r="I344" s="10" t="n"/>
      <c r="J344" s="16" t="n"/>
      <c r="K344" s="16" t="n"/>
      <c r="L344" s="16" t="n"/>
      <c r="M344" s="16" t="n"/>
      <c r="N344" s="10" t="n"/>
      <c r="O344" s="6">
        <f>IF(G344="","",IFERROR(VLOOKUP(G344,MOT,2,FALSE),"código inválido"))</f>
        <v/>
      </c>
      <c r="P344" s="12">
        <f>IF(ISNUMBER(J344),COUNT(J$6:J344),"")</f>
        <v/>
      </c>
    </row>
    <row r="345">
      <c r="A345" s="13" t="n"/>
      <c r="B345" s="10" t="n"/>
      <c r="C345" s="10" t="n"/>
      <c r="D345" s="14" t="n"/>
      <c r="E345" s="14" t="n"/>
      <c r="F345" s="15">
        <f>IF(AND(ISNUMBER(D345),ISNUMBER(E345)),ROUND(IF(E345&lt;D345,E345+1-D345,E345-D345)*1440,2),IF(ISNUMBER(N345),N345,""))</f>
        <v/>
      </c>
      <c r="G345" s="10" t="n"/>
      <c r="H345" s="6">
        <f>IF(G345="","",IFERROR(VLOOKUP(G345,MOT,3,FALSE),"código inválido"))</f>
        <v/>
      </c>
      <c r="I345" s="10" t="n"/>
      <c r="J345" s="16" t="n"/>
      <c r="K345" s="16" t="n"/>
      <c r="L345" s="16" t="n"/>
      <c r="M345" s="16" t="n"/>
      <c r="N345" s="10" t="n"/>
      <c r="O345" s="6">
        <f>IF(G345="","",IFERROR(VLOOKUP(G345,MOT,2,FALSE),"código inválido"))</f>
        <v/>
      </c>
      <c r="P345" s="12">
        <f>IF(ISNUMBER(J345),COUNT(J$6:J345),"")</f>
        <v/>
      </c>
    </row>
    <row r="346">
      <c r="A346" s="13" t="n"/>
      <c r="B346" s="10" t="n"/>
      <c r="C346" s="10" t="n"/>
      <c r="D346" s="14" t="n"/>
      <c r="E346" s="14" t="n"/>
      <c r="F346" s="15">
        <f>IF(AND(ISNUMBER(D346),ISNUMBER(E346)),ROUND(IF(E346&lt;D346,E346+1-D346,E346-D346)*1440,2),IF(ISNUMBER(N346),N346,""))</f>
        <v/>
      </c>
      <c r="G346" s="10" t="n"/>
      <c r="H346" s="6">
        <f>IF(G346="","",IFERROR(VLOOKUP(G346,MOT,3,FALSE),"código inválido"))</f>
        <v/>
      </c>
      <c r="I346" s="10" t="n"/>
      <c r="J346" s="16" t="n"/>
      <c r="K346" s="16" t="n"/>
      <c r="L346" s="16" t="n"/>
      <c r="M346" s="16" t="n"/>
      <c r="N346" s="10" t="n"/>
      <c r="O346" s="6">
        <f>IF(G346="","",IFERROR(VLOOKUP(G346,MOT,2,FALSE),"código inválido"))</f>
        <v/>
      </c>
      <c r="P346" s="12">
        <f>IF(ISNUMBER(J346),COUNT(J$6:J346),"")</f>
        <v/>
      </c>
    </row>
    <row r="347">
      <c r="A347" s="13" t="n"/>
      <c r="B347" s="10" t="n"/>
      <c r="C347" s="10" t="n"/>
      <c r="D347" s="14" t="n"/>
      <c r="E347" s="14" t="n"/>
      <c r="F347" s="15">
        <f>IF(AND(ISNUMBER(D347),ISNUMBER(E347)),ROUND(IF(E347&lt;D347,E347+1-D347,E347-D347)*1440,2),IF(ISNUMBER(N347),N347,""))</f>
        <v/>
      </c>
      <c r="G347" s="10" t="n"/>
      <c r="H347" s="6">
        <f>IF(G347="","",IFERROR(VLOOKUP(G347,MOT,3,FALSE),"código inválido"))</f>
        <v/>
      </c>
      <c r="I347" s="10" t="n"/>
      <c r="J347" s="16" t="n"/>
      <c r="K347" s="16" t="n"/>
      <c r="L347" s="16" t="n"/>
      <c r="M347" s="16" t="n"/>
      <c r="N347" s="10" t="n"/>
      <c r="O347" s="6">
        <f>IF(G347="","",IFERROR(VLOOKUP(G347,MOT,2,FALSE),"código inválido"))</f>
        <v/>
      </c>
      <c r="P347" s="12">
        <f>IF(ISNUMBER(J347),COUNT(J$6:J347),"")</f>
        <v/>
      </c>
    </row>
    <row r="348">
      <c r="A348" s="13" t="n"/>
      <c r="B348" s="10" t="n"/>
      <c r="C348" s="10" t="n"/>
      <c r="D348" s="14" t="n"/>
      <c r="E348" s="14" t="n"/>
      <c r="F348" s="15">
        <f>IF(AND(ISNUMBER(D348),ISNUMBER(E348)),ROUND(IF(E348&lt;D348,E348+1-D348,E348-D348)*1440,2),IF(ISNUMBER(N348),N348,""))</f>
        <v/>
      </c>
      <c r="G348" s="10" t="n"/>
      <c r="H348" s="6">
        <f>IF(G348="","",IFERROR(VLOOKUP(G348,MOT,3,FALSE),"código inválido"))</f>
        <v/>
      </c>
      <c r="I348" s="10" t="n"/>
      <c r="J348" s="16" t="n"/>
      <c r="K348" s="16" t="n"/>
      <c r="L348" s="16" t="n"/>
      <c r="M348" s="16" t="n"/>
      <c r="N348" s="10" t="n"/>
      <c r="O348" s="6">
        <f>IF(G348="","",IFERROR(VLOOKUP(G348,MOT,2,FALSE),"código inválido"))</f>
        <v/>
      </c>
      <c r="P348" s="12">
        <f>IF(ISNUMBER(J348),COUNT(J$6:J348),"")</f>
        <v/>
      </c>
    </row>
    <row r="349">
      <c r="A349" s="13" t="n"/>
      <c r="B349" s="10" t="n"/>
      <c r="C349" s="10" t="n"/>
      <c r="D349" s="14" t="n"/>
      <c r="E349" s="14" t="n"/>
      <c r="F349" s="15">
        <f>IF(AND(ISNUMBER(D349),ISNUMBER(E349)),ROUND(IF(E349&lt;D349,E349+1-D349,E349-D349)*1440,2),IF(ISNUMBER(N349),N349,""))</f>
        <v/>
      </c>
      <c r="G349" s="10" t="n"/>
      <c r="H349" s="6">
        <f>IF(G349="","",IFERROR(VLOOKUP(G349,MOT,3,FALSE),"código inválido"))</f>
        <v/>
      </c>
      <c r="I349" s="10" t="n"/>
      <c r="J349" s="16" t="n"/>
      <c r="K349" s="16" t="n"/>
      <c r="L349" s="16" t="n"/>
      <c r="M349" s="16" t="n"/>
      <c r="N349" s="10" t="n"/>
      <c r="O349" s="6">
        <f>IF(G349="","",IFERROR(VLOOKUP(G349,MOT,2,FALSE),"código inválido"))</f>
        <v/>
      </c>
      <c r="P349" s="12">
        <f>IF(ISNUMBER(J349),COUNT(J$6:J349),"")</f>
        <v/>
      </c>
    </row>
    <row r="350">
      <c r="A350" s="13" t="n"/>
      <c r="B350" s="10" t="n"/>
      <c r="C350" s="10" t="n"/>
      <c r="D350" s="14" t="n"/>
      <c r="E350" s="14" t="n"/>
      <c r="F350" s="15">
        <f>IF(AND(ISNUMBER(D350),ISNUMBER(E350)),ROUND(IF(E350&lt;D350,E350+1-D350,E350-D350)*1440,2),IF(ISNUMBER(N350),N350,""))</f>
        <v/>
      </c>
      <c r="G350" s="10" t="n"/>
      <c r="H350" s="6">
        <f>IF(G350="","",IFERROR(VLOOKUP(G350,MOT,3,FALSE),"código inválido"))</f>
        <v/>
      </c>
      <c r="I350" s="10" t="n"/>
      <c r="J350" s="16" t="n"/>
      <c r="K350" s="16" t="n"/>
      <c r="L350" s="16" t="n"/>
      <c r="M350" s="16" t="n"/>
      <c r="N350" s="10" t="n"/>
      <c r="O350" s="6">
        <f>IF(G350="","",IFERROR(VLOOKUP(G350,MOT,2,FALSE),"código inválido"))</f>
        <v/>
      </c>
      <c r="P350" s="12">
        <f>IF(ISNUMBER(J350),COUNT(J$6:J350),"")</f>
        <v/>
      </c>
    </row>
    <row r="351">
      <c r="A351" s="13" t="n"/>
      <c r="B351" s="10" t="n"/>
      <c r="C351" s="10" t="n"/>
      <c r="D351" s="14" t="n"/>
      <c r="E351" s="14" t="n"/>
      <c r="F351" s="15">
        <f>IF(AND(ISNUMBER(D351),ISNUMBER(E351)),ROUND(IF(E351&lt;D351,E351+1-D351,E351-D351)*1440,2),IF(ISNUMBER(N351),N351,""))</f>
        <v/>
      </c>
      <c r="G351" s="10" t="n"/>
      <c r="H351" s="6">
        <f>IF(G351="","",IFERROR(VLOOKUP(G351,MOT,3,FALSE),"código inválido"))</f>
        <v/>
      </c>
      <c r="I351" s="10" t="n"/>
      <c r="J351" s="16" t="n"/>
      <c r="K351" s="16" t="n"/>
      <c r="L351" s="16" t="n"/>
      <c r="M351" s="16" t="n"/>
      <c r="N351" s="10" t="n"/>
      <c r="O351" s="6">
        <f>IF(G351="","",IFERROR(VLOOKUP(G351,MOT,2,FALSE),"código inválido"))</f>
        <v/>
      </c>
      <c r="P351" s="12">
        <f>IF(ISNUMBER(J351),COUNT(J$6:J351),"")</f>
        <v/>
      </c>
    </row>
    <row r="352">
      <c r="A352" s="13" t="n"/>
      <c r="B352" s="10" t="n"/>
      <c r="C352" s="10" t="n"/>
      <c r="D352" s="14" t="n"/>
      <c r="E352" s="14" t="n"/>
      <c r="F352" s="15">
        <f>IF(AND(ISNUMBER(D352),ISNUMBER(E352)),ROUND(IF(E352&lt;D352,E352+1-D352,E352-D352)*1440,2),IF(ISNUMBER(N352),N352,""))</f>
        <v/>
      </c>
      <c r="G352" s="10" t="n"/>
      <c r="H352" s="6">
        <f>IF(G352="","",IFERROR(VLOOKUP(G352,MOT,3,FALSE),"código inválido"))</f>
        <v/>
      </c>
      <c r="I352" s="10" t="n"/>
      <c r="J352" s="16" t="n"/>
      <c r="K352" s="16" t="n"/>
      <c r="L352" s="16" t="n"/>
      <c r="M352" s="16" t="n"/>
      <c r="N352" s="10" t="n"/>
      <c r="O352" s="6">
        <f>IF(G352="","",IFERROR(VLOOKUP(G352,MOT,2,FALSE),"código inválido"))</f>
        <v/>
      </c>
      <c r="P352" s="12">
        <f>IF(ISNUMBER(J352),COUNT(J$6:J352),"")</f>
        <v/>
      </c>
    </row>
    <row r="353">
      <c r="A353" s="13" t="n"/>
      <c r="B353" s="10" t="n"/>
      <c r="C353" s="10" t="n"/>
      <c r="D353" s="14" t="n"/>
      <c r="E353" s="14" t="n"/>
      <c r="F353" s="15">
        <f>IF(AND(ISNUMBER(D353),ISNUMBER(E353)),ROUND(IF(E353&lt;D353,E353+1-D353,E353-D353)*1440,2),IF(ISNUMBER(N353),N353,""))</f>
        <v/>
      </c>
      <c r="G353" s="10" t="n"/>
      <c r="H353" s="6">
        <f>IF(G353="","",IFERROR(VLOOKUP(G353,MOT,3,FALSE),"código inválido"))</f>
        <v/>
      </c>
      <c r="I353" s="10" t="n"/>
      <c r="J353" s="16" t="n"/>
      <c r="K353" s="16" t="n"/>
      <c r="L353" s="16" t="n"/>
      <c r="M353" s="16" t="n"/>
      <c r="N353" s="10" t="n"/>
      <c r="O353" s="6">
        <f>IF(G353="","",IFERROR(VLOOKUP(G353,MOT,2,FALSE),"código inválido"))</f>
        <v/>
      </c>
      <c r="P353" s="12">
        <f>IF(ISNUMBER(J353),COUNT(J$6:J353),"")</f>
        <v/>
      </c>
    </row>
    <row r="354">
      <c r="A354" s="13" t="n"/>
      <c r="B354" s="10" t="n"/>
      <c r="C354" s="10" t="n"/>
      <c r="D354" s="14" t="n"/>
      <c r="E354" s="14" t="n"/>
      <c r="F354" s="15">
        <f>IF(AND(ISNUMBER(D354),ISNUMBER(E354)),ROUND(IF(E354&lt;D354,E354+1-D354,E354-D354)*1440,2),IF(ISNUMBER(N354),N354,""))</f>
        <v/>
      </c>
      <c r="G354" s="10" t="n"/>
      <c r="H354" s="6">
        <f>IF(G354="","",IFERROR(VLOOKUP(G354,MOT,3,FALSE),"código inválido"))</f>
        <v/>
      </c>
      <c r="I354" s="10" t="n"/>
      <c r="J354" s="16" t="n"/>
      <c r="K354" s="16" t="n"/>
      <c r="L354" s="16" t="n"/>
      <c r="M354" s="16" t="n"/>
      <c r="N354" s="10" t="n"/>
      <c r="O354" s="6">
        <f>IF(G354="","",IFERROR(VLOOKUP(G354,MOT,2,FALSE),"código inválido"))</f>
        <v/>
      </c>
      <c r="P354" s="12">
        <f>IF(ISNUMBER(J354),COUNT(J$6:J354),"")</f>
        <v/>
      </c>
    </row>
    <row r="355">
      <c r="A355" s="13" t="n"/>
      <c r="B355" s="10" t="n"/>
      <c r="C355" s="10" t="n"/>
      <c r="D355" s="14" t="n"/>
      <c r="E355" s="14" t="n"/>
      <c r="F355" s="15">
        <f>IF(AND(ISNUMBER(D355),ISNUMBER(E355)),ROUND(IF(E355&lt;D355,E355+1-D355,E355-D355)*1440,2),IF(ISNUMBER(N355),N355,""))</f>
        <v/>
      </c>
      <c r="G355" s="10" t="n"/>
      <c r="H355" s="6">
        <f>IF(G355="","",IFERROR(VLOOKUP(G355,MOT,3,FALSE),"código inválido"))</f>
        <v/>
      </c>
      <c r="I355" s="10" t="n"/>
      <c r="J355" s="16" t="n"/>
      <c r="K355" s="16" t="n"/>
      <c r="L355" s="16" t="n"/>
      <c r="M355" s="16" t="n"/>
      <c r="N355" s="10" t="n"/>
      <c r="O355" s="6">
        <f>IF(G355="","",IFERROR(VLOOKUP(G355,MOT,2,FALSE),"código inválido"))</f>
        <v/>
      </c>
      <c r="P355" s="12">
        <f>IF(ISNUMBER(J355),COUNT(J$6:J355),"")</f>
        <v/>
      </c>
    </row>
    <row r="356">
      <c r="A356" s="13" t="n"/>
      <c r="B356" s="10" t="n"/>
      <c r="C356" s="10" t="n"/>
      <c r="D356" s="14" t="n"/>
      <c r="E356" s="14" t="n"/>
      <c r="F356" s="15">
        <f>IF(AND(ISNUMBER(D356),ISNUMBER(E356)),ROUND(IF(E356&lt;D356,E356+1-D356,E356-D356)*1440,2),IF(ISNUMBER(N356),N356,""))</f>
        <v/>
      </c>
      <c r="G356" s="10" t="n"/>
      <c r="H356" s="6">
        <f>IF(G356="","",IFERROR(VLOOKUP(G356,MOT,3,FALSE),"código inválido"))</f>
        <v/>
      </c>
      <c r="I356" s="10" t="n"/>
      <c r="J356" s="16" t="n"/>
      <c r="K356" s="16" t="n"/>
      <c r="L356" s="16" t="n"/>
      <c r="M356" s="16" t="n"/>
      <c r="N356" s="10" t="n"/>
      <c r="O356" s="6">
        <f>IF(G356="","",IFERROR(VLOOKUP(G356,MOT,2,FALSE),"código inválido"))</f>
        <v/>
      </c>
      <c r="P356" s="12">
        <f>IF(ISNUMBER(J356),COUNT(J$6:J356),"")</f>
        <v/>
      </c>
    </row>
    <row r="357">
      <c r="A357" s="13" t="n"/>
      <c r="B357" s="10" t="n"/>
      <c r="C357" s="10" t="n"/>
      <c r="D357" s="14" t="n"/>
      <c r="E357" s="14" t="n"/>
      <c r="F357" s="15">
        <f>IF(AND(ISNUMBER(D357),ISNUMBER(E357)),ROUND(IF(E357&lt;D357,E357+1-D357,E357-D357)*1440,2),IF(ISNUMBER(N357),N357,""))</f>
        <v/>
      </c>
      <c r="G357" s="10" t="n"/>
      <c r="H357" s="6">
        <f>IF(G357="","",IFERROR(VLOOKUP(G357,MOT,3,FALSE),"código inválido"))</f>
        <v/>
      </c>
      <c r="I357" s="10" t="n"/>
      <c r="J357" s="16" t="n"/>
      <c r="K357" s="16" t="n"/>
      <c r="L357" s="16" t="n"/>
      <c r="M357" s="16" t="n"/>
      <c r="N357" s="10" t="n"/>
      <c r="O357" s="6">
        <f>IF(G357="","",IFERROR(VLOOKUP(G357,MOT,2,FALSE),"código inválido"))</f>
        <v/>
      </c>
      <c r="P357" s="12">
        <f>IF(ISNUMBER(J357),COUNT(J$6:J357),"")</f>
        <v/>
      </c>
    </row>
    <row r="358">
      <c r="A358" s="13" t="n"/>
      <c r="B358" s="10" t="n"/>
      <c r="C358" s="10" t="n"/>
      <c r="D358" s="14" t="n"/>
      <c r="E358" s="14" t="n"/>
      <c r="F358" s="15">
        <f>IF(AND(ISNUMBER(D358),ISNUMBER(E358)),ROUND(IF(E358&lt;D358,E358+1-D358,E358-D358)*1440,2),IF(ISNUMBER(N358),N358,""))</f>
        <v/>
      </c>
      <c r="G358" s="10" t="n"/>
      <c r="H358" s="6">
        <f>IF(G358="","",IFERROR(VLOOKUP(G358,MOT,3,FALSE),"código inválido"))</f>
        <v/>
      </c>
      <c r="I358" s="10" t="n"/>
      <c r="J358" s="16" t="n"/>
      <c r="K358" s="16" t="n"/>
      <c r="L358" s="16" t="n"/>
      <c r="M358" s="16" t="n"/>
      <c r="N358" s="10" t="n"/>
      <c r="O358" s="6">
        <f>IF(G358="","",IFERROR(VLOOKUP(G358,MOT,2,FALSE),"código inválido"))</f>
        <v/>
      </c>
      <c r="P358" s="12">
        <f>IF(ISNUMBER(J358),COUNT(J$6:J358),"")</f>
        <v/>
      </c>
    </row>
    <row r="359">
      <c r="A359" s="13" t="n"/>
      <c r="B359" s="10" t="n"/>
      <c r="C359" s="10" t="n"/>
      <c r="D359" s="14" t="n"/>
      <c r="E359" s="14" t="n"/>
      <c r="F359" s="15">
        <f>IF(AND(ISNUMBER(D359),ISNUMBER(E359)),ROUND(IF(E359&lt;D359,E359+1-D359,E359-D359)*1440,2),IF(ISNUMBER(N359),N359,""))</f>
        <v/>
      </c>
      <c r="G359" s="10" t="n"/>
      <c r="H359" s="6">
        <f>IF(G359="","",IFERROR(VLOOKUP(G359,MOT,3,FALSE),"código inválido"))</f>
        <v/>
      </c>
      <c r="I359" s="10" t="n"/>
      <c r="J359" s="16" t="n"/>
      <c r="K359" s="16" t="n"/>
      <c r="L359" s="16" t="n"/>
      <c r="M359" s="16" t="n"/>
      <c r="N359" s="10" t="n"/>
      <c r="O359" s="6">
        <f>IF(G359="","",IFERROR(VLOOKUP(G359,MOT,2,FALSE),"código inválido"))</f>
        <v/>
      </c>
      <c r="P359" s="12">
        <f>IF(ISNUMBER(J359),COUNT(J$6:J359),"")</f>
        <v/>
      </c>
    </row>
    <row r="360">
      <c r="A360" s="13" t="n"/>
      <c r="B360" s="10" t="n"/>
      <c r="C360" s="10" t="n"/>
      <c r="D360" s="14" t="n"/>
      <c r="E360" s="14" t="n"/>
      <c r="F360" s="15">
        <f>IF(AND(ISNUMBER(D360),ISNUMBER(E360)),ROUND(IF(E360&lt;D360,E360+1-D360,E360-D360)*1440,2),IF(ISNUMBER(N360),N360,""))</f>
        <v/>
      </c>
      <c r="G360" s="10" t="n"/>
      <c r="H360" s="6">
        <f>IF(G360="","",IFERROR(VLOOKUP(G360,MOT,3,FALSE),"código inválido"))</f>
        <v/>
      </c>
      <c r="I360" s="10" t="n"/>
      <c r="J360" s="16" t="n"/>
      <c r="K360" s="16" t="n"/>
      <c r="L360" s="16" t="n"/>
      <c r="M360" s="16" t="n"/>
      <c r="N360" s="10" t="n"/>
      <c r="O360" s="6">
        <f>IF(G360="","",IFERROR(VLOOKUP(G360,MOT,2,FALSE),"código inválido"))</f>
        <v/>
      </c>
      <c r="P360" s="12">
        <f>IF(ISNUMBER(J360),COUNT(J$6:J360),"")</f>
        <v/>
      </c>
    </row>
    <row r="361">
      <c r="A361" s="13" t="n"/>
      <c r="B361" s="10" t="n"/>
      <c r="C361" s="10" t="n"/>
      <c r="D361" s="14" t="n"/>
      <c r="E361" s="14" t="n"/>
      <c r="F361" s="15">
        <f>IF(AND(ISNUMBER(D361),ISNUMBER(E361)),ROUND(IF(E361&lt;D361,E361+1-D361,E361-D361)*1440,2),IF(ISNUMBER(N361),N361,""))</f>
        <v/>
      </c>
      <c r="G361" s="10" t="n"/>
      <c r="H361" s="6">
        <f>IF(G361="","",IFERROR(VLOOKUP(G361,MOT,3,FALSE),"código inválido"))</f>
        <v/>
      </c>
      <c r="I361" s="10" t="n"/>
      <c r="J361" s="16" t="n"/>
      <c r="K361" s="16" t="n"/>
      <c r="L361" s="16" t="n"/>
      <c r="M361" s="16" t="n"/>
      <c r="N361" s="10" t="n"/>
      <c r="O361" s="6">
        <f>IF(G361="","",IFERROR(VLOOKUP(G361,MOT,2,FALSE),"código inválido"))</f>
        <v/>
      </c>
      <c r="P361" s="12">
        <f>IF(ISNUMBER(J361),COUNT(J$6:J361),"")</f>
        <v/>
      </c>
    </row>
    <row r="362">
      <c r="A362" s="13" t="n"/>
      <c r="B362" s="10" t="n"/>
      <c r="C362" s="10" t="n"/>
      <c r="D362" s="14" t="n"/>
      <c r="E362" s="14" t="n"/>
      <c r="F362" s="15">
        <f>IF(AND(ISNUMBER(D362),ISNUMBER(E362)),ROUND(IF(E362&lt;D362,E362+1-D362,E362-D362)*1440,2),IF(ISNUMBER(N362),N362,""))</f>
        <v/>
      </c>
      <c r="G362" s="10" t="n"/>
      <c r="H362" s="6">
        <f>IF(G362="","",IFERROR(VLOOKUP(G362,MOT,3,FALSE),"código inválido"))</f>
        <v/>
      </c>
      <c r="I362" s="10" t="n"/>
      <c r="J362" s="16" t="n"/>
      <c r="K362" s="16" t="n"/>
      <c r="L362" s="16" t="n"/>
      <c r="M362" s="16" t="n"/>
      <c r="N362" s="10" t="n"/>
      <c r="O362" s="6">
        <f>IF(G362="","",IFERROR(VLOOKUP(G362,MOT,2,FALSE),"código inválido"))</f>
        <v/>
      </c>
      <c r="P362" s="12">
        <f>IF(ISNUMBER(J362),COUNT(J$6:J362),"")</f>
        <v/>
      </c>
    </row>
    <row r="363">
      <c r="A363" s="13" t="n"/>
      <c r="B363" s="10" t="n"/>
      <c r="C363" s="10" t="n"/>
      <c r="D363" s="14" t="n"/>
      <c r="E363" s="14" t="n"/>
      <c r="F363" s="15">
        <f>IF(AND(ISNUMBER(D363),ISNUMBER(E363)),ROUND(IF(E363&lt;D363,E363+1-D363,E363-D363)*1440,2),IF(ISNUMBER(N363),N363,""))</f>
        <v/>
      </c>
      <c r="G363" s="10" t="n"/>
      <c r="H363" s="6">
        <f>IF(G363="","",IFERROR(VLOOKUP(G363,MOT,3,FALSE),"código inválido"))</f>
        <v/>
      </c>
      <c r="I363" s="10" t="n"/>
      <c r="J363" s="16" t="n"/>
      <c r="K363" s="16" t="n"/>
      <c r="L363" s="16" t="n"/>
      <c r="M363" s="16" t="n"/>
      <c r="N363" s="10" t="n"/>
      <c r="O363" s="6">
        <f>IF(G363="","",IFERROR(VLOOKUP(G363,MOT,2,FALSE),"código inválido"))</f>
        <v/>
      </c>
      <c r="P363" s="12">
        <f>IF(ISNUMBER(J363),COUNT(J$6:J363),"")</f>
        <v/>
      </c>
    </row>
    <row r="364">
      <c r="A364" s="13" t="n"/>
      <c r="B364" s="10" t="n"/>
      <c r="C364" s="10" t="n"/>
      <c r="D364" s="14" t="n"/>
      <c r="E364" s="14" t="n"/>
      <c r="F364" s="15">
        <f>IF(AND(ISNUMBER(D364),ISNUMBER(E364)),ROUND(IF(E364&lt;D364,E364+1-D364,E364-D364)*1440,2),IF(ISNUMBER(N364),N364,""))</f>
        <v/>
      </c>
      <c r="G364" s="10" t="n"/>
      <c r="H364" s="6">
        <f>IF(G364="","",IFERROR(VLOOKUP(G364,MOT,3,FALSE),"código inválido"))</f>
        <v/>
      </c>
      <c r="I364" s="10" t="n"/>
      <c r="J364" s="16" t="n"/>
      <c r="K364" s="16" t="n"/>
      <c r="L364" s="16" t="n"/>
      <c r="M364" s="16" t="n"/>
      <c r="N364" s="10" t="n"/>
      <c r="O364" s="6">
        <f>IF(G364="","",IFERROR(VLOOKUP(G364,MOT,2,FALSE),"código inválido"))</f>
        <v/>
      </c>
      <c r="P364" s="12">
        <f>IF(ISNUMBER(J364),COUNT(J$6:J364),"")</f>
        <v/>
      </c>
    </row>
    <row r="365">
      <c r="A365" s="13" t="n"/>
      <c r="B365" s="10" t="n"/>
      <c r="C365" s="10" t="n"/>
      <c r="D365" s="14" t="n"/>
      <c r="E365" s="14" t="n"/>
      <c r="F365" s="15">
        <f>IF(AND(ISNUMBER(D365),ISNUMBER(E365)),ROUND(IF(E365&lt;D365,E365+1-D365,E365-D365)*1440,2),IF(ISNUMBER(N365),N365,""))</f>
        <v/>
      </c>
      <c r="G365" s="10" t="n"/>
      <c r="H365" s="6">
        <f>IF(G365="","",IFERROR(VLOOKUP(G365,MOT,3,FALSE),"código inválido"))</f>
        <v/>
      </c>
      <c r="I365" s="10" t="n"/>
      <c r="J365" s="16" t="n"/>
      <c r="K365" s="16" t="n"/>
      <c r="L365" s="16" t="n"/>
      <c r="M365" s="16" t="n"/>
      <c r="N365" s="10" t="n"/>
      <c r="O365" s="6">
        <f>IF(G365="","",IFERROR(VLOOKUP(G365,MOT,2,FALSE),"código inválido"))</f>
        <v/>
      </c>
      <c r="P365" s="12">
        <f>IF(ISNUMBER(J365),COUNT(J$6:J365),"")</f>
        <v/>
      </c>
    </row>
    <row r="366">
      <c r="A366" s="13" t="n"/>
      <c r="B366" s="10" t="n"/>
      <c r="C366" s="10" t="n"/>
      <c r="D366" s="14" t="n"/>
      <c r="E366" s="14" t="n"/>
      <c r="F366" s="15">
        <f>IF(AND(ISNUMBER(D366),ISNUMBER(E366)),ROUND(IF(E366&lt;D366,E366+1-D366,E366-D366)*1440,2),IF(ISNUMBER(N366),N366,""))</f>
        <v/>
      </c>
      <c r="G366" s="10" t="n"/>
      <c r="H366" s="6">
        <f>IF(G366="","",IFERROR(VLOOKUP(G366,MOT,3,FALSE),"código inválido"))</f>
        <v/>
      </c>
      <c r="I366" s="10" t="n"/>
      <c r="J366" s="16" t="n"/>
      <c r="K366" s="16" t="n"/>
      <c r="L366" s="16" t="n"/>
      <c r="M366" s="16" t="n"/>
      <c r="N366" s="10" t="n"/>
      <c r="O366" s="6">
        <f>IF(G366="","",IFERROR(VLOOKUP(G366,MOT,2,FALSE),"código inválido"))</f>
        <v/>
      </c>
      <c r="P366" s="12">
        <f>IF(ISNUMBER(J366),COUNT(J$6:J366),"")</f>
        <v/>
      </c>
    </row>
    <row r="367">
      <c r="A367" s="13" t="n"/>
      <c r="B367" s="10" t="n"/>
      <c r="C367" s="10" t="n"/>
      <c r="D367" s="14" t="n"/>
      <c r="E367" s="14" t="n"/>
      <c r="F367" s="15">
        <f>IF(AND(ISNUMBER(D367),ISNUMBER(E367)),ROUND(IF(E367&lt;D367,E367+1-D367,E367-D367)*1440,2),IF(ISNUMBER(N367),N367,""))</f>
        <v/>
      </c>
      <c r="G367" s="10" t="n"/>
      <c r="H367" s="6">
        <f>IF(G367="","",IFERROR(VLOOKUP(G367,MOT,3,FALSE),"código inválido"))</f>
        <v/>
      </c>
      <c r="I367" s="10" t="n"/>
      <c r="J367" s="16" t="n"/>
      <c r="K367" s="16" t="n"/>
      <c r="L367" s="16" t="n"/>
      <c r="M367" s="16" t="n"/>
      <c r="N367" s="10" t="n"/>
      <c r="O367" s="6">
        <f>IF(G367="","",IFERROR(VLOOKUP(G367,MOT,2,FALSE),"código inválido"))</f>
        <v/>
      </c>
      <c r="P367" s="12">
        <f>IF(ISNUMBER(J367),COUNT(J$6:J367),"")</f>
        <v/>
      </c>
    </row>
    <row r="368">
      <c r="A368" s="13" t="n"/>
      <c r="B368" s="10" t="n"/>
      <c r="C368" s="10" t="n"/>
      <c r="D368" s="14" t="n"/>
      <c r="E368" s="14" t="n"/>
      <c r="F368" s="15">
        <f>IF(AND(ISNUMBER(D368),ISNUMBER(E368)),ROUND(IF(E368&lt;D368,E368+1-D368,E368-D368)*1440,2),IF(ISNUMBER(N368),N368,""))</f>
        <v/>
      </c>
      <c r="G368" s="10" t="n"/>
      <c r="H368" s="6">
        <f>IF(G368="","",IFERROR(VLOOKUP(G368,MOT,3,FALSE),"código inválido"))</f>
        <v/>
      </c>
      <c r="I368" s="10" t="n"/>
      <c r="J368" s="16" t="n"/>
      <c r="K368" s="16" t="n"/>
      <c r="L368" s="16" t="n"/>
      <c r="M368" s="16" t="n"/>
      <c r="N368" s="10" t="n"/>
      <c r="O368" s="6">
        <f>IF(G368="","",IFERROR(VLOOKUP(G368,MOT,2,FALSE),"código inválido"))</f>
        <v/>
      </c>
      <c r="P368" s="12">
        <f>IF(ISNUMBER(J368),COUNT(J$6:J368),"")</f>
        <v/>
      </c>
    </row>
    <row r="369">
      <c r="A369" s="13" t="n"/>
      <c r="B369" s="10" t="n"/>
      <c r="C369" s="10" t="n"/>
      <c r="D369" s="14" t="n"/>
      <c r="E369" s="14" t="n"/>
      <c r="F369" s="15">
        <f>IF(AND(ISNUMBER(D369),ISNUMBER(E369)),ROUND(IF(E369&lt;D369,E369+1-D369,E369-D369)*1440,2),IF(ISNUMBER(N369),N369,""))</f>
        <v/>
      </c>
      <c r="G369" s="10" t="n"/>
      <c r="H369" s="6">
        <f>IF(G369="","",IFERROR(VLOOKUP(G369,MOT,3,FALSE),"código inválido"))</f>
        <v/>
      </c>
      <c r="I369" s="10" t="n"/>
      <c r="J369" s="16" t="n"/>
      <c r="K369" s="16" t="n"/>
      <c r="L369" s="16" t="n"/>
      <c r="M369" s="16" t="n"/>
      <c r="N369" s="10" t="n"/>
      <c r="O369" s="6">
        <f>IF(G369="","",IFERROR(VLOOKUP(G369,MOT,2,FALSE),"código inválido"))</f>
        <v/>
      </c>
      <c r="P369" s="12">
        <f>IF(ISNUMBER(J369),COUNT(J$6:J369),"")</f>
        <v/>
      </c>
    </row>
    <row r="370">
      <c r="A370" s="13" t="n"/>
      <c r="B370" s="10" t="n"/>
      <c r="C370" s="10" t="n"/>
      <c r="D370" s="14" t="n"/>
      <c r="E370" s="14" t="n"/>
      <c r="F370" s="15">
        <f>IF(AND(ISNUMBER(D370),ISNUMBER(E370)),ROUND(IF(E370&lt;D370,E370+1-D370,E370-D370)*1440,2),IF(ISNUMBER(N370),N370,""))</f>
        <v/>
      </c>
      <c r="G370" s="10" t="n"/>
      <c r="H370" s="6">
        <f>IF(G370="","",IFERROR(VLOOKUP(G370,MOT,3,FALSE),"código inválido"))</f>
        <v/>
      </c>
      <c r="I370" s="10" t="n"/>
      <c r="J370" s="16" t="n"/>
      <c r="K370" s="16" t="n"/>
      <c r="L370" s="16" t="n"/>
      <c r="M370" s="16" t="n"/>
      <c r="N370" s="10" t="n"/>
      <c r="O370" s="6">
        <f>IF(G370="","",IFERROR(VLOOKUP(G370,MOT,2,FALSE),"código inválido"))</f>
        <v/>
      </c>
      <c r="P370" s="12">
        <f>IF(ISNUMBER(J370),COUNT(J$6:J370),"")</f>
        <v/>
      </c>
    </row>
    <row r="371">
      <c r="A371" s="13" t="n"/>
      <c r="B371" s="10" t="n"/>
      <c r="C371" s="10" t="n"/>
      <c r="D371" s="14" t="n"/>
      <c r="E371" s="14" t="n"/>
      <c r="F371" s="15">
        <f>IF(AND(ISNUMBER(D371),ISNUMBER(E371)),ROUND(IF(E371&lt;D371,E371+1-D371,E371-D371)*1440,2),IF(ISNUMBER(N371),N371,""))</f>
        <v/>
      </c>
      <c r="G371" s="10" t="n"/>
      <c r="H371" s="6">
        <f>IF(G371="","",IFERROR(VLOOKUP(G371,MOT,3,FALSE),"código inválido"))</f>
        <v/>
      </c>
      <c r="I371" s="10" t="n"/>
      <c r="J371" s="16" t="n"/>
      <c r="K371" s="16" t="n"/>
      <c r="L371" s="16" t="n"/>
      <c r="M371" s="16" t="n"/>
      <c r="N371" s="10" t="n"/>
      <c r="O371" s="6">
        <f>IF(G371="","",IFERROR(VLOOKUP(G371,MOT,2,FALSE),"código inválido"))</f>
        <v/>
      </c>
      <c r="P371" s="12">
        <f>IF(ISNUMBER(J371),COUNT(J$6:J371),"")</f>
        <v/>
      </c>
    </row>
    <row r="372">
      <c r="A372" s="13" t="n"/>
      <c r="B372" s="10" t="n"/>
      <c r="C372" s="10" t="n"/>
      <c r="D372" s="14" t="n"/>
      <c r="E372" s="14" t="n"/>
      <c r="F372" s="15">
        <f>IF(AND(ISNUMBER(D372),ISNUMBER(E372)),ROUND(IF(E372&lt;D372,E372+1-D372,E372-D372)*1440,2),IF(ISNUMBER(N372),N372,""))</f>
        <v/>
      </c>
      <c r="G372" s="10" t="n"/>
      <c r="H372" s="6">
        <f>IF(G372="","",IFERROR(VLOOKUP(G372,MOT,3,FALSE),"código inválido"))</f>
        <v/>
      </c>
      <c r="I372" s="10" t="n"/>
      <c r="J372" s="16" t="n"/>
      <c r="K372" s="16" t="n"/>
      <c r="L372" s="16" t="n"/>
      <c r="M372" s="16" t="n"/>
      <c r="N372" s="10" t="n"/>
      <c r="O372" s="6">
        <f>IF(G372="","",IFERROR(VLOOKUP(G372,MOT,2,FALSE),"código inválido"))</f>
        <v/>
      </c>
      <c r="P372" s="12">
        <f>IF(ISNUMBER(J372),COUNT(J$6:J372),"")</f>
        <v/>
      </c>
    </row>
    <row r="373">
      <c r="A373" s="13" t="n"/>
      <c r="B373" s="10" t="n"/>
      <c r="C373" s="10" t="n"/>
      <c r="D373" s="14" t="n"/>
      <c r="E373" s="14" t="n"/>
      <c r="F373" s="15">
        <f>IF(AND(ISNUMBER(D373),ISNUMBER(E373)),ROUND(IF(E373&lt;D373,E373+1-D373,E373-D373)*1440,2),IF(ISNUMBER(N373),N373,""))</f>
        <v/>
      </c>
      <c r="G373" s="10" t="n"/>
      <c r="H373" s="6">
        <f>IF(G373="","",IFERROR(VLOOKUP(G373,MOT,3,FALSE),"código inválido"))</f>
        <v/>
      </c>
      <c r="I373" s="10" t="n"/>
      <c r="J373" s="16" t="n"/>
      <c r="K373" s="16" t="n"/>
      <c r="L373" s="16" t="n"/>
      <c r="M373" s="16" t="n"/>
      <c r="N373" s="10" t="n"/>
      <c r="O373" s="6">
        <f>IF(G373="","",IFERROR(VLOOKUP(G373,MOT,2,FALSE),"código inválido"))</f>
        <v/>
      </c>
      <c r="P373" s="12">
        <f>IF(ISNUMBER(J373),COUNT(J$6:J373),"")</f>
        <v/>
      </c>
    </row>
    <row r="374">
      <c r="A374" s="13" t="n"/>
      <c r="B374" s="10" t="n"/>
      <c r="C374" s="10" t="n"/>
      <c r="D374" s="14" t="n"/>
      <c r="E374" s="14" t="n"/>
      <c r="F374" s="15">
        <f>IF(AND(ISNUMBER(D374),ISNUMBER(E374)),ROUND(IF(E374&lt;D374,E374+1-D374,E374-D374)*1440,2),IF(ISNUMBER(N374),N374,""))</f>
        <v/>
      </c>
      <c r="G374" s="10" t="n"/>
      <c r="H374" s="6">
        <f>IF(G374="","",IFERROR(VLOOKUP(G374,MOT,3,FALSE),"código inválido"))</f>
        <v/>
      </c>
      <c r="I374" s="10" t="n"/>
      <c r="J374" s="16" t="n"/>
      <c r="K374" s="16" t="n"/>
      <c r="L374" s="16" t="n"/>
      <c r="M374" s="16" t="n"/>
      <c r="N374" s="10" t="n"/>
      <c r="O374" s="6">
        <f>IF(G374="","",IFERROR(VLOOKUP(G374,MOT,2,FALSE),"código inválido"))</f>
        <v/>
      </c>
      <c r="P374" s="12">
        <f>IF(ISNUMBER(J374),COUNT(J$6:J374),"")</f>
        <v/>
      </c>
    </row>
    <row r="375">
      <c r="A375" s="13" t="n"/>
      <c r="B375" s="10" t="n"/>
      <c r="C375" s="10" t="n"/>
      <c r="D375" s="14" t="n"/>
      <c r="E375" s="14" t="n"/>
      <c r="F375" s="15">
        <f>IF(AND(ISNUMBER(D375),ISNUMBER(E375)),ROUND(IF(E375&lt;D375,E375+1-D375,E375-D375)*1440,2),IF(ISNUMBER(N375),N375,""))</f>
        <v/>
      </c>
      <c r="G375" s="10" t="n"/>
      <c r="H375" s="6">
        <f>IF(G375="","",IFERROR(VLOOKUP(G375,MOT,3,FALSE),"código inválido"))</f>
        <v/>
      </c>
      <c r="I375" s="10" t="n"/>
      <c r="J375" s="16" t="n"/>
      <c r="K375" s="16" t="n"/>
      <c r="L375" s="16" t="n"/>
      <c r="M375" s="16" t="n"/>
      <c r="N375" s="10" t="n"/>
      <c r="O375" s="6">
        <f>IF(G375="","",IFERROR(VLOOKUP(G375,MOT,2,FALSE),"código inválido"))</f>
        <v/>
      </c>
      <c r="P375" s="12">
        <f>IF(ISNUMBER(J375),COUNT(J$6:J375),"")</f>
        <v/>
      </c>
    </row>
    <row r="376">
      <c r="A376" s="13" t="n"/>
      <c r="B376" s="10" t="n"/>
      <c r="C376" s="10" t="n"/>
      <c r="D376" s="14" t="n"/>
      <c r="E376" s="14" t="n"/>
      <c r="F376" s="15">
        <f>IF(AND(ISNUMBER(D376),ISNUMBER(E376)),ROUND(IF(E376&lt;D376,E376+1-D376,E376-D376)*1440,2),IF(ISNUMBER(N376),N376,""))</f>
        <v/>
      </c>
      <c r="G376" s="10" t="n"/>
      <c r="H376" s="6">
        <f>IF(G376="","",IFERROR(VLOOKUP(G376,MOT,3,FALSE),"código inválido"))</f>
        <v/>
      </c>
      <c r="I376" s="10" t="n"/>
      <c r="J376" s="16" t="n"/>
      <c r="K376" s="16" t="n"/>
      <c r="L376" s="16" t="n"/>
      <c r="M376" s="16" t="n"/>
      <c r="N376" s="10" t="n"/>
      <c r="O376" s="6">
        <f>IF(G376="","",IFERROR(VLOOKUP(G376,MOT,2,FALSE),"código inválido"))</f>
        <v/>
      </c>
      <c r="P376" s="12">
        <f>IF(ISNUMBER(J376),COUNT(J$6:J376),"")</f>
        <v/>
      </c>
    </row>
    <row r="377">
      <c r="A377" s="13" t="n"/>
      <c r="B377" s="10" t="n"/>
      <c r="C377" s="10" t="n"/>
      <c r="D377" s="14" t="n"/>
      <c r="E377" s="14" t="n"/>
      <c r="F377" s="15">
        <f>IF(AND(ISNUMBER(D377),ISNUMBER(E377)),ROUND(IF(E377&lt;D377,E377+1-D377,E377-D377)*1440,2),IF(ISNUMBER(N377),N377,""))</f>
        <v/>
      </c>
      <c r="G377" s="10" t="n"/>
      <c r="H377" s="6">
        <f>IF(G377="","",IFERROR(VLOOKUP(G377,MOT,3,FALSE),"código inválido"))</f>
        <v/>
      </c>
      <c r="I377" s="10" t="n"/>
      <c r="J377" s="16" t="n"/>
      <c r="K377" s="16" t="n"/>
      <c r="L377" s="16" t="n"/>
      <c r="M377" s="16" t="n"/>
      <c r="N377" s="10" t="n"/>
      <c r="O377" s="6">
        <f>IF(G377="","",IFERROR(VLOOKUP(G377,MOT,2,FALSE),"código inválido"))</f>
        <v/>
      </c>
      <c r="P377" s="12">
        <f>IF(ISNUMBER(J377),COUNT(J$6:J377),"")</f>
        <v/>
      </c>
    </row>
    <row r="378">
      <c r="A378" s="13" t="n"/>
      <c r="B378" s="10" t="n"/>
      <c r="C378" s="10" t="n"/>
      <c r="D378" s="14" t="n"/>
      <c r="E378" s="14" t="n"/>
      <c r="F378" s="15">
        <f>IF(AND(ISNUMBER(D378),ISNUMBER(E378)),ROUND(IF(E378&lt;D378,E378+1-D378,E378-D378)*1440,2),IF(ISNUMBER(N378),N378,""))</f>
        <v/>
      </c>
      <c r="G378" s="10" t="n"/>
      <c r="H378" s="6">
        <f>IF(G378="","",IFERROR(VLOOKUP(G378,MOT,3,FALSE),"código inválido"))</f>
        <v/>
      </c>
      <c r="I378" s="10" t="n"/>
      <c r="J378" s="16" t="n"/>
      <c r="K378" s="16" t="n"/>
      <c r="L378" s="16" t="n"/>
      <c r="M378" s="16" t="n"/>
      <c r="N378" s="10" t="n"/>
      <c r="O378" s="6">
        <f>IF(G378="","",IFERROR(VLOOKUP(G378,MOT,2,FALSE),"código inválido"))</f>
        <v/>
      </c>
      <c r="P378" s="12">
        <f>IF(ISNUMBER(J378),COUNT(J$6:J378),"")</f>
        <v/>
      </c>
    </row>
    <row r="379">
      <c r="A379" s="13" t="n"/>
      <c r="B379" s="10" t="n"/>
      <c r="C379" s="10" t="n"/>
      <c r="D379" s="14" t="n"/>
      <c r="E379" s="14" t="n"/>
      <c r="F379" s="15">
        <f>IF(AND(ISNUMBER(D379),ISNUMBER(E379)),ROUND(IF(E379&lt;D379,E379+1-D379,E379-D379)*1440,2),IF(ISNUMBER(N379),N379,""))</f>
        <v/>
      </c>
      <c r="G379" s="10" t="n"/>
      <c r="H379" s="6">
        <f>IF(G379="","",IFERROR(VLOOKUP(G379,MOT,3,FALSE),"código inválido"))</f>
        <v/>
      </c>
      <c r="I379" s="10" t="n"/>
      <c r="J379" s="16" t="n"/>
      <c r="K379" s="16" t="n"/>
      <c r="L379" s="16" t="n"/>
      <c r="M379" s="16" t="n"/>
      <c r="N379" s="10" t="n"/>
      <c r="O379" s="6">
        <f>IF(G379="","",IFERROR(VLOOKUP(G379,MOT,2,FALSE),"código inválido"))</f>
        <v/>
      </c>
      <c r="P379" s="12">
        <f>IF(ISNUMBER(J379),COUNT(J$6:J379),"")</f>
        <v/>
      </c>
    </row>
    <row r="380">
      <c r="A380" s="13" t="n"/>
      <c r="B380" s="10" t="n"/>
      <c r="C380" s="10" t="n"/>
      <c r="D380" s="14" t="n"/>
      <c r="E380" s="14" t="n"/>
      <c r="F380" s="15">
        <f>IF(AND(ISNUMBER(D380),ISNUMBER(E380)),ROUND(IF(E380&lt;D380,E380+1-D380,E380-D380)*1440,2),IF(ISNUMBER(N380),N380,""))</f>
        <v/>
      </c>
      <c r="G380" s="10" t="n"/>
      <c r="H380" s="6">
        <f>IF(G380="","",IFERROR(VLOOKUP(G380,MOT,3,FALSE),"código inválido"))</f>
        <v/>
      </c>
      <c r="I380" s="10" t="n"/>
      <c r="J380" s="16" t="n"/>
      <c r="K380" s="16" t="n"/>
      <c r="L380" s="16" t="n"/>
      <c r="M380" s="16" t="n"/>
      <c r="N380" s="10" t="n"/>
      <c r="O380" s="6">
        <f>IF(G380="","",IFERROR(VLOOKUP(G380,MOT,2,FALSE),"código inválido"))</f>
        <v/>
      </c>
      <c r="P380" s="12">
        <f>IF(ISNUMBER(J380),COUNT(J$6:J380),"")</f>
        <v/>
      </c>
    </row>
    <row r="381">
      <c r="A381" s="13" t="n"/>
      <c r="B381" s="10" t="n"/>
      <c r="C381" s="10" t="n"/>
      <c r="D381" s="14" t="n"/>
      <c r="E381" s="14" t="n"/>
      <c r="F381" s="15">
        <f>IF(AND(ISNUMBER(D381),ISNUMBER(E381)),ROUND(IF(E381&lt;D381,E381+1-D381,E381-D381)*1440,2),IF(ISNUMBER(N381),N381,""))</f>
        <v/>
      </c>
      <c r="G381" s="10" t="n"/>
      <c r="H381" s="6">
        <f>IF(G381="","",IFERROR(VLOOKUP(G381,MOT,3,FALSE),"código inválido"))</f>
        <v/>
      </c>
      <c r="I381" s="10" t="n"/>
      <c r="J381" s="16" t="n"/>
      <c r="K381" s="16" t="n"/>
      <c r="L381" s="16" t="n"/>
      <c r="M381" s="16" t="n"/>
      <c r="N381" s="10" t="n"/>
      <c r="O381" s="6">
        <f>IF(G381="","",IFERROR(VLOOKUP(G381,MOT,2,FALSE),"código inválido"))</f>
        <v/>
      </c>
      <c r="P381" s="12">
        <f>IF(ISNUMBER(J381),COUNT(J$6:J381),"")</f>
        <v/>
      </c>
    </row>
    <row r="382">
      <c r="A382" s="13" t="n"/>
      <c r="B382" s="10" t="n"/>
      <c r="C382" s="10" t="n"/>
      <c r="D382" s="14" t="n"/>
      <c r="E382" s="14" t="n"/>
      <c r="F382" s="15">
        <f>IF(AND(ISNUMBER(D382),ISNUMBER(E382)),ROUND(IF(E382&lt;D382,E382+1-D382,E382-D382)*1440,2),IF(ISNUMBER(N382),N382,""))</f>
        <v/>
      </c>
      <c r="G382" s="10" t="n"/>
      <c r="H382" s="6">
        <f>IF(G382="","",IFERROR(VLOOKUP(G382,MOT,3,FALSE),"código inválido"))</f>
        <v/>
      </c>
      <c r="I382" s="10" t="n"/>
      <c r="J382" s="16" t="n"/>
      <c r="K382" s="16" t="n"/>
      <c r="L382" s="16" t="n"/>
      <c r="M382" s="16" t="n"/>
      <c r="N382" s="10" t="n"/>
      <c r="O382" s="6">
        <f>IF(G382="","",IFERROR(VLOOKUP(G382,MOT,2,FALSE),"código inválido"))</f>
        <v/>
      </c>
      <c r="P382" s="12">
        <f>IF(ISNUMBER(J382),COUNT(J$6:J382),"")</f>
        <v/>
      </c>
    </row>
    <row r="383">
      <c r="A383" s="13" t="n"/>
      <c r="B383" s="10" t="n"/>
      <c r="C383" s="10" t="n"/>
      <c r="D383" s="14" t="n"/>
      <c r="E383" s="14" t="n"/>
      <c r="F383" s="15">
        <f>IF(AND(ISNUMBER(D383),ISNUMBER(E383)),ROUND(IF(E383&lt;D383,E383+1-D383,E383-D383)*1440,2),IF(ISNUMBER(N383),N383,""))</f>
        <v/>
      </c>
      <c r="G383" s="10" t="n"/>
      <c r="H383" s="6">
        <f>IF(G383="","",IFERROR(VLOOKUP(G383,MOT,3,FALSE),"código inválido"))</f>
        <v/>
      </c>
      <c r="I383" s="10" t="n"/>
      <c r="J383" s="16" t="n"/>
      <c r="K383" s="16" t="n"/>
      <c r="L383" s="16" t="n"/>
      <c r="M383" s="16" t="n"/>
      <c r="N383" s="10" t="n"/>
      <c r="O383" s="6">
        <f>IF(G383="","",IFERROR(VLOOKUP(G383,MOT,2,FALSE),"código inválido"))</f>
        <v/>
      </c>
      <c r="P383" s="12">
        <f>IF(ISNUMBER(J383),COUNT(J$6:J383),"")</f>
        <v/>
      </c>
    </row>
    <row r="384">
      <c r="A384" s="13" t="n"/>
      <c r="B384" s="10" t="n"/>
      <c r="C384" s="10" t="n"/>
      <c r="D384" s="14" t="n"/>
      <c r="E384" s="14" t="n"/>
      <c r="F384" s="15">
        <f>IF(AND(ISNUMBER(D384),ISNUMBER(E384)),ROUND(IF(E384&lt;D384,E384+1-D384,E384-D384)*1440,2),IF(ISNUMBER(N384),N384,""))</f>
        <v/>
      </c>
      <c r="G384" s="10" t="n"/>
      <c r="H384" s="6">
        <f>IF(G384="","",IFERROR(VLOOKUP(G384,MOT,3,FALSE),"código inválido"))</f>
        <v/>
      </c>
      <c r="I384" s="10" t="n"/>
      <c r="J384" s="16" t="n"/>
      <c r="K384" s="16" t="n"/>
      <c r="L384" s="16" t="n"/>
      <c r="M384" s="16" t="n"/>
      <c r="N384" s="10" t="n"/>
      <c r="O384" s="6">
        <f>IF(G384="","",IFERROR(VLOOKUP(G384,MOT,2,FALSE),"código inválido"))</f>
        <v/>
      </c>
      <c r="P384" s="12">
        <f>IF(ISNUMBER(J384),COUNT(J$6:J384),"")</f>
        <v/>
      </c>
    </row>
    <row r="385">
      <c r="A385" s="13" t="n"/>
      <c r="B385" s="10" t="n"/>
      <c r="C385" s="10" t="n"/>
      <c r="D385" s="14" t="n"/>
      <c r="E385" s="14" t="n"/>
      <c r="F385" s="15">
        <f>IF(AND(ISNUMBER(D385),ISNUMBER(E385)),ROUND(IF(E385&lt;D385,E385+1-D385,E385-D385)*1440,2),IF(ISNUMBER(N385),N385,""))</f>
        <v/>
      </c>
      <c r="G385" s="10" t="n"/>
      <c r="H385" s="6">
        <f>IF(G385="","",IFERROR(VLOOKUP(G385,MOT,3,FALSE),"código inválido"))</f>
        <v/>
      </c>
      <c r="I385" s="10" t="n"/>
      <c r="J385" s="16" t="n"/>
      <c r="K385" s="16" t="n"/>
      <c r="L385" s="16" t="n"/>
      <c r="M385" s="16" t="n"/>
      <c r="N385" s="10" t="n"/>
      <c r="O385" s="6">
        <f>IF(G385="","",IFERROR(VLOOKUP(G385,MOT,2,FALSE),"código inválido"))</f>
        <v/>
      </c>
      <c r="P385" s="12">
        <f>IF(ISNUMBER(J385),COUNT(J$6:J385),"")</f>
        <v/>
      </c>
    </row>
    <row r="386">
      <c r="A386" s="13" t="n"/>
      <c r="B386" s="10" t="n"/>
      <c r="C386" s="10" t="n"/>
      <c r="D386" s="14" t="n"/>
      <c r="E386" s="14" t="n"/>
      <c r="F386" s="15">
        <f>IF(AND(ISNUMBER(D386),ISNUMBER(E386)),ROUND(IF(E386&lt;D386,E386+1-D386,E386-D386)*1440,2),IF(ISNUMBER(N386),N386,""))</f>
        <v/>
      </c>
      <c r="G386" s="10" t="n"/>
      <c r="H386" s="6">
        <f>IF(G386="","",IFERROR(VLOOKUP(G386,MOT,3,FALSE),"código inválido"))</f>
        <v/>
      </c>
      <c r="I386" s="10" t="n"/>
      <c r="J386" s="16" t="n"/>
      <c r="K386" s="16" t="n"/>
      <c r="L386" s="16" t="n"/>
      <c r="M386" s="16" t="n"/>
      <c r="N386" s="10" t="n"/>
      <c r="O386" s="6">
        <f>IF(G386="","",IFERROR(VLOOKUP(G386,MOT,2,FALSE),"código inválido"))</f>
        <v/>
      </c>
      <c r="P386" s="12">
        <f>IF(ISNUMBER(J386),COUNT(J$6:J386),"")</f>
        <v/>
      </c>
    </row>
    <row r="387">
      <c r="A387" s="13" t="n"/>
      <c r="B387" s="10" t="n"/>
      <c r="C387" s="10" t="n"/>
      <c r="D387" s="14" t="n"/>
      <c r="E387" s="14" t="n"/>
      <c r="F387" s="15">
        <f>IF(AND(ISNUMBER(D387),ISNUMBER(E387)),ROUND(IF(E387&lt;D387,E387+1-D387,E387-D387)*1440,2),IF(ISNUMBER(N387),N387,""))</f>
        <v/>
      </c>
      <c r="G387" s="10" t="n"/>
      <c r="H387" s="6">
        <f>IF(G387="","",IFERROR(VLOOKUP(G387,MOT,3,FALSE),"código inválido"))</f>
        <v/>
      </c>
      <c r="I387" s="10" t="n"/>
      <c r="J387" s="16" t="n"/>
      <c r="K387" s="16" t="n"/>
      <c r="L387" s="16" t="n"/>
      <c r="M387" s="16" t="n"/>
      <c r="N387" s="10" t="n"/>
      <c r="O387" s="6">
        <f>IF(G387="","",IFERROR(VLOOKUP(G387,MOT,2,FALSE),"código inválido"))</f>
        <v/>
      </c>
      <c r="P387" s="12">
        <f>IF(ISNUMBER(J387),COUNT(J$6:J387),"")</f>
        <v/>
      </c>
    </row>
    <row r="388">
      <c r="A388" s="13" t="n"/>
      <c r="B388" s="10" t="n"/>
      <c r="C388" s="10" t="n"/>
      <c r="D388" s="14" t="n"/>
      <c r="E388" s="14" t="n"/>
      <c r="F388" s="15">
        <f>IF(AND(ISNUMBER(D388),ISNUMBER(E388)),ROUND(IF(E388&lt;D388,E388+1-D388,E388-D388)*1440,2),IF(ISNUMBER(N388),N388,""))</f>
        <v/>
      </c>
      <c r="G388" s="10" t="n"/>
      <c r="H388" s="6">
        <f>IF(G388="","",IFERROR(VLOOKUP(G388,MOT,3,FALSE),"código inválido"))</f>
        <v/>
      </c>
      <c r="I388" s="10" t="n"/>
      <c r="J388" s="16" t="n"/>
      <c r="K388" s="16" t="n"/>
      <c r="L388" s="16" t="n"/>
      <c r="M388" s="16" t="n"/>
      <c r="N388" s="10" t="n"/>
      <c r="O388" s="6">
        <f>IF(G388="","",IFERROR(VLOOKUP(G388,MOT,2,FALSE),"código inválido"))</f>
        <v/>
      </c>
      <c r="P388" s="12">
        <f>IF(ISNUMBER(J388),COUNT(J$6:J388),"")</f>
        <v/>
      </c>
    </row>
    <row r="389">
      <c r="A389" s="13" t="n"/>
      <c r="B389" s="10" t="n"/>
      <c r="C389" s="10" t="n"/>
      <c r="D389" s="14" t="n"/>
      <c r="E389" s="14" t="n"/>
      <c r="F389" s="15">
        <f>IF(AND(ISNUMBER(D389),ISNUMBER(E389)),ROUND(IF(E389&lt;D389,E389+1-D389,E389-D389)*1440,2),IF(ISNUMBER(N389),N389,""))</f>
        <v/>
      </c>
      <c r="G389" s="10" t="n"/>
      <c r="H389" s="6">
        <f>IF(G389="","",IFERROR(VLOOKUP(G389,MOT,3,FALSE),"código inválido"))</f>
        <v/>
      </c>
      <c r="I389" s="10" t="n"/>
      <c r="J389" s="16" t="n"/>
      <c r="K389" s="16" t="n"/>
      <c r="L389" s="16" t="n"/>
      <c r="M389" s="16" t="n"/>
      <c r="N389" s="10" t="n"/>
      <c r="O389" s="6">
        <f>IF(G389="","",IFERROR(VLOOKUP(G389,MOT,2,FALSE),"código inválido"))</f>
        <v/>
      </c>
      <c r="P389" s="12">
        <f>IF(ISNUMBER(J389),COUNT(J$6:J389),"")</f>
        <v/>
      </c>
    </row>
    <row r="390">
      <c r="A390" s="13" t="n"/>
      <c r="B390" s="10" t="n"/>
      <c r="C390" s="10" t="n"/>
      <c r="D390" s="14" t="n"/>
      <c r="E390" s="14" t="n"/>
      <c r="F390" s="15">
        <f>IF(AND(ISNUMBER(D390),ISNUMBER(E390)),ROUND(IF(E390&lt;D390,E390+1-D390,E390-D390)*1440,2),IF(ISNUMBER(N390),N390,""))</f>
        <v/>
      </c>
      <c r="G390" s="10" t="n"/>
      <c r="H390" s="6">
        <f>IF(G390="","",IFERROR(VLOOKUP(G390,MOT,3,FALSE),"código inválido"))</f>
        <v/>
      </c>
      <c r="I390" s="10" t="n"/>
      <c r="J390" s="16" t="n"/>
      <c r="K390" s="16" t="n"/>
      <c r="L390" s="16" t="n"/>
      <c r="M390" s="16" t="n"/>
      <c r="N390" s="10" t="n"/>
      <c r="O390" s="6">
        <f>IF(G390="","",IFERROR(VLOOKUP(G390,MOT,2,FALSE),"código inválido"))</f>
        <v/>
      </c>
      <c r="P390" s="12">
        <f>IF(ISNUMBER(J390),COUNT(J$6:J390),"")</f>
        <v/>
      </c>
    </row>
    <row r="391">
      <c r="A391" s="13" t="n"/>
      <c r="B391" s="10" t="n"/>
      <c r="C391" s="10" t="n"/>
      <c r="D391" s="14" t="n"/>
      <c r="E391" s="14" t="n"/>
      <c r="F391" s="15">
        <f>IF(AND(ISNUMBER(D391),ISNUMBER(E391)),ROUND(IF(E391&lt;D391,E391+1-D391,E391-D391)*1440,2),IF(ISNUMBER(N391),N391,""))</f>
        <v/>
      </c>
      <c r="G391" s="10" t="n"/>
      <c r="H391" s="6">
        <f>IF(G391="","",IFERROR(VLOOKUP(G391,MOT,3,FALSE),"código inválido"))</f>
        <v/>
      </c>
      <c r="I391" s="10" t="n"/>
      <c r="J391" s="16" t="n"/>
      <c r="K391" s="16" t="n"/>
      <c r="L391" s="16" t="n"/>
      <c r="M391" s="16" t="n"/>
      <c r="N391" s="10" t="n"/>
      <c r="O391" s="6">
        <f>IF(G391="","",IFERROR(VLOOKUP(G391,MOT,2,FALSE),"código inválido"))</f>
        <v/>
      </c>
      <c r="P391" s="12">
        <f>IF(ISNUMBER(J391),COUNT(J$6:J391),"")</f>
        <v/>
      </c>
    </row>
    <row r="392">
      <c r="A392" s="13" t="n"/>
      <c r="B392" s="10" t="n"/>
      <c r="C392" s="10" t="n"/>
      <c r="D392" s="14" t="n"/>
      <c r="E392" s="14" t="n"/>
      <c r="F392" s="15">
        <f>IF(AND(ISNUMBER(D392),ISNUMBER(E392)),ROUND(IF(E392&lt;D392,E392+1-D392,E392-D392)*1440,2),IF(ISNUMBER(N392),N392,""))</f>
        <v/>
      </c>
      <c r="G392" s="10" t="n"/>
      <c r="H392" s="6">
        <f>IF(G392="","",IFERROR(VLOOKUP(G392,MOT,3,FALSE),"código inválido"))</f>
        <v/>
      </c>
      <c r="I392" s="10" t="n"/>
      <c r="J392" s="16" t="n"/>
      <c r="K392" s="16" t="n"/>
      <c r="L392" s="16" t="n"/>
      <c r="M392" s="16" t="n"/>
      <c r="N392" s="10" t="n"/>
      <c r="O392" s="6">
        <f>IF(G392="","",IFERROR(VLOOKUP(G392,MOT,2,FALSE),"código inválido"))</f>
        <v/>
      </c>
      <c r="P392" s="12">
        <f>IF(ISNUMBER(J392),COUNT(J$6:J392),"")</f>
        <v/>
      </c>
    </row>
    <row r="393">
      <c r="A393" s="13" t="n"/>
      <c r="B393" s="10" t="n"/>
      <c r="C393" s="10" t="n"/>
      <c r="D393" s="14" t="n"/>
      <c r="E393" s="14" t="n"/>
      <c r="F393" s="15">
        <f>IF(AND(ISNUMBER(D393),ISNUMBER(E393)),ROUND(IF(E393&lt;D393,E393+1-D393,E393-D393)*1440,2),IF(ISNUMBER(N393),N393,""))</f>
        <v/>
      </c>
      <c r="G393" s="10" t="n"/>
      <c r="H393" s="6">
        <f>IF(G393="","",IFERROR(VLOOKUP(G393,MOT,3,FALSE),"código inválido"))</f>
        <v/>
      </c>
      <c r="I393" s="10" t="n"/>
      <c r="J393" s="16" t="n"/>
      <c r="K393" s="16" t="n"/>
      <c r="L393" s="16" t="n"/>
      <c r="M393" s="16" t="n"/>
      <c r="N393" s="10" t="n"/>
      <c r="O393" s="6">
        <f>IF(G393="","",IFERROR(VLOOKUP(G393,MOT,2,FALSE),"código inválido"))</f>
        <v/>
      </c>
      <c r="P393" s="12">
        <f>IF(ISNUMBER(J393),COUNT(J$6:J393),"")</f>
        <v/>
      </c>
    </row>
    <row r="394">
      <c r="A394" s="13" t="n"/>
      <c r="B394" s="10" t="n"/>
      <c r="C394" s="10" t="n"/>
      <c r="D394" s="14" t="n"/>
      <c r="E394" s="14" t="n"/>
      <c r="F394" s="15">
        <f>IF(AND(ISNUMBER(D394),ISNUMBER(E394)),ROUND(IF(E394&lt;D394,E394+1-D394,E394-D394)*1440,2),IF(ISNUMBER(N394),N394,""))</f>
        <v/>
      </c>
      <c r="G394" s="10" t="n"/>
      <c r="H394" s="6">
        <f>IF(G394="","",IFERROR(VLOOKUP(G394,MOT,3,FALSE),"código inválido"))</f>
        <v/>
      </c>
      <c r="I394" s="10" t="n"/>
      <c r="J394" s="16" t="n"/>
      <c r="K394" s="16" t="n"/>
      <c r="L394" s="16" t="n"/>
      <c r="M394" s="16" t="n"/>
      <c r="N394" s="10" t="n"/>
      <c r="O394" s="6">
        <f>IF(G394="","",IFERROR(VLOOKUP(G394,MOT,2,FALSE),"código inválido"))</f>
        <v/>
      </c>
      <c r="P394" s="12">
        <f>IF(ISNUMBER(J394),COUNT(J$6:J394),"")</f>
        <v/>
      </c>
    </row>
    <row r="395">
      <c r="A395" s="13" t="n"/>
      <c r="B395" s="10" t="n"/>
      <c r="C395" s="10" t="n"/>
      <c r="D395" s="14" t="n"/>
      <c r="E395" s="14" t="n"/>
      <c r="F395" s="15">
        <f>IF(AND(ISNUMBER(D395),ISNUMBER(E395)),ROUND(IF(E395&lt;D395,E395+1-D395,E395-D395)*1440,2),IF(ISNUMBER(N395),N395,""))</f>
        <v/>
      </c>
      <c r="G395" s="10" t="n"/>
      <c r="H395" s="6">
        <f>IF(G395="","",IFERROR(VLOOKUP(G395,MOT,3,FALSE),"código inválido"))</f>
        <v/>
      </c>
      <c r="I395" s="10" t="n"/>
      <c r="J395" s="16" t="n"/>
      <c r="K395" s="16" t="n"/>
      <c r="L395" s="16" t="n"/>
      <c r="M395" s="16" t="n"/>
      <c r="N395" s="10" t="n"/>
      <c r="O395" s="6">
        <f>IF(G395="","",IFERROR(VLOOKUP(G395,MOT,2,FALSE),"código inválido"))</f>
        <v/>
      </c>
      <c r="P395" s="12">
        <f>IF(ISNUMBER(J395),COUNT(J$6:J395),"")</f>
        <v/>
      </c>
    </row>
    <row r="396">
      <c r="A396" s="13" t="n"/>
      <c r="B396" s="10" t="n"/>
      <c r="C396" s="10" t="n"/>
      <c r="D396" s="14" t="n"/>
      <c r="E396" s="14" t="n"/>
      <c r="F396" s="15">
        <f>IF(AND(ISNUMBER(D396),ISNUMBER(E396)),ROUND(IF(E396&lt;D396,E396+1-D396,E396-D396)*1440,2),IF(ISNUMBER(N396),N396,""))</f>
        <v/>
      </c>
      <c r="G396" s="10" t="n"/>
      <c r="H396" s="6">
        <f>IF(G396="","",IFERROR(VLOOKUP(G396,MOT,3,FALSE),"código inválido"))</f>
        <v/>
      </c>
      <c r="I396" s="10" t="n"/>
      <c r="J396" s="16" t="n"/>
      <c r="K396" s="16" t="n"/>
      <c r="L396" s="16" t="n"/>
      <c r="M396" s="16" t="n"/>
      <c r="N396" s="10" t="n"/>
      <c r="O396" s="6">
        <f>IF(G396="","",IFERROR(VLOOKUP(G396,MOT,2,FALSE),"código inválido"))</f>
        <v/>
      </c>
      <c r="P396" s="12">
        <f>IF(ISNUMBER(J396),COUNT(J$6:J396),"")</f>
        <v/>
      </c>
    </row>
    <row r="397">
      <c r="A397" s="13" t="n"/>
      <c r="B397" s="10" t="n"/>
      <c r="C397" s="10" t="n"/>
      <c r="D397" s="14" t="n"/>
      <c r="E397" s="14" t="n"/>
      <c r="F397" s="15">
        <f>IF(AND(ISNUMBER(D397),ISNUMBER(E397)),ROUND(IF(E397&lt;D397,E397+1-D397,E397-D397)*1440,2),IF(ISNUMBER(N397),N397,""))</f>
        <v/>
      </c>
      <c r="G397" s="10" t="n"/>
      <c r="H397" s="6">
        <f>IF(G397="","",IFERROR(VLOOKUP(G397,MOT,3,FALSE),"código inválido"))</f>
        <v/>
      </c>
      <c r="I397" s="10" t="n"/>
      <c r="J397" s="16" t="n"/>
      <c r="K397" s="16" t="n"/>
      <c r="L397" s="16" t="n"/>
      <c r="M397" s="16" t="n"/>
      <c r="N397" s="10" t="n"/>
      <c r="O397" s="6">
        <f>IF(G397="","",IFERROR(VLOOKUP(G397,MOT,2,FALSE),"código inválido"))</f>
        <v/>
      </c>
      <c r="P397" s="12">
        <f>IF(ISNUMBER(J397),COUNT(J$6:J397),"")</f>
        <v/>
      </c>
    </row>
    <row r="398">
      <c r="A398" s="13" t="n"/>
      <c r="B398" s="10" t="n"/>
      <c r="C398" s="10" t="n"/>
      <c r="D398" s="14" t="n"/>
      <c r="E398" s="14" t="n"/>
      <c r="F398" s="15">
        <f>IF(AND(ISNUMBER(D398),ISNUMBER(E398)),ROUND(IF(E398&lt;D398,E398+1-D398,E398-D398)*1440,2),IF(ISNUMBER(N398),N398,""))</f>
        <v/>
      </c>
      <c r="G398" s="10" t="n"/>
      <c r="H398" s="6">
        <f>IF(G398="","",IFERROR(VLOOKUP(G398,MOT,3,FALSE),"código inválido"))</f>
        <v/>
      </c>
      <c r="I398" s="10" t="n"/>
      <c r="J398" s="16" t="n"/>
      <c r="K398" s="16" t="n"/>
      <c r="L398" s="16" t="n"/>
      <c r="M398" s="16" t="n"/>
      <c r="N398" s="10" t="n"/>
      <c r="O398" s="6">
        <f>IF(G398="","",IFERROR(VLOOKUP(G398,MOT,2,FALSE),"código inválido"))</f>
        <v/>
      </c>
      <c r="P398" s="12">
        <f>IF(ISNUMBER(J398),COUNT(J$6:J398),"")</f>
        <v/>
      </c>
    </row>
    <row r="399">
      <c r="A399" s="13" t="n"/>
      <c r="B399" s="10" t="n"/>
      <c r="C399" s="10" t="n"/>
      <c r="D399" s="14" t="n"/>
      <c r="E399" s="14" t="n"/>
      <c r="F399" s="15">
        <f>IF(AND(ISNUMBER(D399),ISNUMBER(E399)),ROUND(IF(E399&lt;D399,E399+1-D399,E399-D399)*1440,2),IF(ISNUMBER(N399),N399,""))</f>
        <v/>
      </c>
      <c r="G399" s="10" t="n"/>
      <c r="H399" s="6">
        <f>IF(G399="","",IFERROR(VLOOKUP(G399,MOT,3,FALSE),"código inválido"))</f>
        <v/>
      </c>
      <c r="I399" s="10" t="n"/>
      <c r="J399" s="16" t="n"/>
      <c r="K399" s="16" t="n"/>
      <c r="L399" s="16" t="n"/>
      <c r="M399" s="16" t="n"/>
      <c r="N399" s="10" t="n"/>
      <c r="O399" s="6">
        <f>IF(G399="","",IFERROR(VLOOKUP(G399,MOT,2,FALSE),"código inválido"))</f>
        <v/>
      </c>
      <c r="P399" s="12">
        <f>IF(ISNUMBER(J399),COUNT(J$6:J399),"")</f>
        <v/>
      </c>
    </row>
    <row r="400">
      <c r="A400" s="13" t="n"/>
      <c r="B400" s="10" t="n"/>
      <c r="C400" s="10" t="n"/>
      <c r="D400" s="14" t="n"/>
      <c r="E400" s="14" t="n"/>
      <c r="F400" s="15">
        <f>IF(AND(ISNUMBER(D400),ISNUMBER(E400)),ROUND(IF(E400&lt;D400,E400+1-D400,E400-D400)*1440,2),IF(ISNUMBER(N400),N400,""))</f>
        <v/>
      </c>
      <c r="G400" s="10" t="n"/>
      <c r="H400" s="6">
        <f>IF(G400="","",IFERROR(VLOOKUP(G400,MOT,3,FALSE),"código inválido"))</f>
        <v/>
      </c>
      <c r="I400" s="10" t="n"/>
      <c r="J400" s="16" t="n"/>
      <c r="K400" s="16" t="n"/>
      <c r="L400" s="16" t="n"/>
      <c r="M400" s="16" t="n"/>
      <c r="N400" s="10" t="n"/>
      <c r="O400" s="6">
        <f>IF(G400="","",IFERROR(VLOOKUP(G400,MOT,2,FALSE),"código inválido"))</f>
        <v/>
      </c>
      <c r="P400" s="12">
        <f>IF(ISNUMBER(J400),COUNT(J$6:J400),"")</f>
        <v/>
      </c>
    </row>
    <row r="401">
      <c r="A401" s="13" t="n"/>
      <c r="B401" s="10" t="n"/>
      <c r="C401" s="10" t="n"/>
      <c r="D401" s="14" t="n"/>
      <c r="E401" s="14" t="n"/>
      <c r="F401" s="15">
        <f>IF(AND(ISNUMBER(D401),ISNUMBER(E401)),ROUND(IF(E401&lt;D401,E401+1-D401,E401-D401)*1440,2),IF(ISNUMBER(N401),N401,""))</f>
        <v/>
      </c>
      <c r="G401" s="10" t="n"/>
      <c r="H401" s="6">
        <f>IF(G401="","",IFERROR(VLOOKUP(G401,MOT,3,FALSE),"código inválido"))</f>
        <v/>
      </c>
      <c r="I401" s="10" t="n"/>
      <c r="J401" s="16" t="n"/>
      <c r="K401" s="16" t="n"/>
      <c r="L401" s="16" t="n"/>
      <c r="M401" s="16" t="n"/>
      <c r="N401" s="10" t="n"/>
      <c r="O401" s="6">
        <f>IF(G401="","",IFERROR(VLOOKUP(G401,MOT,2,FALSE),"código inválido"))</f>
        <v/>
      </c>
      <c r="P401" s="12">
        <f>IF(ISNUMBER(J401),COUNT(J$6:J401),"")</f>
        <v/>
      </c>
    </row>
    <row r="402">
      <c r="A402" s="13" t="n"/>
      <c r="B402" s="10" t="n"/>
      <c r="C402" s="10" t="n"/>
      <c r="D402" s="14" t="n"/>
      <c r="E402" s="14" t="n"/>
      <c r="F402" s="15">
        <f>IF(AND(ISNUMBER(D402),ISNUMBER(E402)),ROUND(IF(E402&lt;D402,E402+1-D402,E402-D402)*1440,2),IF(ISNUMBER(N402),N402,""))</f>
        <v/>
      </c>
      <c r="G402" s="10" t="n"/>
      <c r="H402" s="6">
        <f>IF(G402="","",IFERROR(VLOOKUP(G402,MOT,3,FALSE),"código inválido"))</f>
        <v/>
      </c>
      <c r="I402" s="10" t="n"/>
      <c r="J402" s="16" t="n"/>
      <c r="K402" s="16" t="n"/>
      <c r="L402" s="16" t="n"/>
      <c r="M402" s="16" t="n"/>
      <c r="N402" s="10" t="n"/>
      <c r="O402" s="6">
        <f>IF(G402="","",IFERROR(VLOOKUP(G402,MOT,2,FALSE),"código inválido"))</f>
        <v/>
      </c>
      <c r="P402" s="12">
        <f>IF(ISNUMBER(J402),COUNT(J$6:J402),"")</f>
        <v/>
      </c>
    </row>
    <row r="403">
      <c r="A403" s="13" t="n"/>
      <c r="B403" s="10" t="n"/>
      <c r="C403" s="10" t="n"/>
      <c r="D403" s="14" t="n"/>
      <c r="E403" s="14" t="n"/>
      <c r="F403" s="15">
        <f>IF(AND(ISNUMBER(D403),ISNUMBER(E403)),ROUND(IF(E403&lt;D403,E403+1-D403,E403-D403)*1440,2),IF(ISNUMBER(N403),N403,""))</f>
        <v/>
      </c>
      <c r="G403" s="10" t="n"/>
      <c r="H403" s="6">
        <f>IF(G403="","",IFERROR(VLOOKUP(G403,MOT,3,FALSE),"código inválido"))</f>
        <v/>
      </c>
      <c r="I403" s="10" t="n"/>
      <c r="J403" s="16" t="n"/>
      <c r="K403" s="16" t="n"/>
      <c r="L403" s="16" t="n"/>
      <c r="M403" s="16" t="n"/>
      <c r="N403" s="10" t="n"/>
      <c r="O403" s="6">
        <f>IF(G403="","",IFERROR(VLOOKUP(G403,MOT,2,FALSE),"código inválido"))</f>
        <v/>
      </c>
      <c r="P403" s="12">
        <f>IF(ISNUMBER(J403),COUNT(J$6:J403),"")</f>
        <v/>
      </c>
    </row>
    <row r="404">
      <c r="A404" s="13" t="n"/>
      <c r="B404" s="10" t="n"/>
      <c r="C404" s="10" t="n"/>
      <c r="D404" s="14" t="n"/>
      <c r="E404" s="14" t="n"/>
      <c r="F404" s="15">
        <f>IF(AND(ISNUMBER(D404),ISNUMBER(E404)),ROUND(IF(E404&lt;D404,E404+1-D404,E404-D404)*1440,2),IF(ISNUMBER(N404),N404,""))</f>
        <v/>
      </c>
      <c r="G404" s="10" t="n"/>
      <c r="H404" s="6">
        <f>IF(G404="","",IFERROR(VLOOKUP(G404,MOT,3,FALSE),"código inválido"))</f>
        <v/>
      </c>
      <c r="I404" s="10" t="n"/>
      <c r="J404" s="16" t="n"/>
      <c r="K404" s="16" t="n"/>
      <c r="L404" s="16" t="n"/>
      <c r="M404" s="16" t="n"/>
      <c r="N404" s="10" t="n"/>
      <c r="O404" s="6">
        <f>IF(G404="","",IFERROR(VLOOKUP(G404,MOT,2,FALSE),"código inválido"))</f>
        <v/>
      </c>
      <c r="P404" s="12">
        <f>IF(ISNUMBER(J404),COUNT(J$6:J404),"")</f>
        <v/>
      </c>
    </row>
    <row r="405">
      <c r="A405" s="13" t="n"/>
      <c r="B405" s="10" t="n"/>
      <c r="C405" s="10" t="n"/>
      <c r="D405" s="14" t="n"/>
      <c r="E405" s="14" t="n"/>
      <c r="F405" s="15">
        <f>IF(AND(ISNUMBER(D405),ISNUMBER(E405)),ROUND(IF(E405&lt;D405,E405+1-D405,E405-D405)*1440,2),IF(ISNUMBER(N405),N405,""))</f>
        <v/>
      </c>
      <c r="G405" s="10" t="n"/>
      <c r="H405" s="6">
        <f>IF(G405="","",IFERROR(VLOOKUP(G405,MOT,3,FALSE),"código inválido"))</f>
        <v/>
      </c>
      <c r="I405" s="10" t="n"/>
      <c r="J405" s="16" t="n"/>
      <c r="K405" s="16" t="n"/>
      <c r="L405" s="16" t="n"/>
      <c r="M405" s="16" t="n"/>
      <c r="N405" s="10" t="n"/>
      <c r="O405" s="6">
        <f>IF(G405="","",IFERROR(VLOOKUP(G405,MOT,2,FALSE),"código inválido"))</f>
        <v/>
      </c>
      <c r="P405" s="12">
        <f>IF(ISNUMBER(J405),COUNT(J$6:J405),"")</f>
        <v/>
      </c>
    </row>
    <row r="406">
      <c r="A406" s="13" t="n"/>
      <c r="B406" s="10" t="n"/>
      <c r="C406" s="10" t="n"/>
      <c r="D406" s="14" t="n"/>
      <c r="E406" s="14" t="n"/>
      <c r="F406" s="15">
        <f>IF(AND(ISNUMBER(D406),ISNUMBER(E406)),ROUND(IF(E406&lt;D406,E406+1-D406,E406-D406)*1440,2),IF(ISNUMBER(N406),N406,""))</f>
        <v/>
      </c>
      <c r="G406" s="10" t="n"/>
      <c r="H406" s="6">
        <f>IF(G406="","",IFERROR(VLOOKUP(G406,MOT,3,FALSE),"código inválido"))</f>
        <v/>
      </c>
      <c r="I406" s="10" t="n"/>
      <c r="J406" s="16" t="n"/>
      <c r="K406" s="16" t="n"/>
      <c r="L406" s="16" t="n"/>
      <c r="M406" s="16" t="n"/>
      <c r="N406" s="10" t="n"/>
      <c r="O406" s="6">
        <f>IF(G406="","",IFERROR(VLOOKUP(G406,MOT,2,FALSE),"código inválido"))</f>
        <v/>
      </c>
      <c r="P406" s="12">
        <f>IF(ISNUMBER(J406),COUNT(J$6:J406),"")</f>
        <v/>
      </c>
    </row>
    <row r="407">
      <c r="A407" s="13" t="n"/>
      <c r="B407" s="10" t="n"/>
      <c r="C407" s="10" t="n"/>
      <c r="D407" s="14" t="n"/>
      <c r="E407" s="14" t="n"/>
      <c r="F407" s="15">
        <f>IF(AND(ISNUMBER(D407),ISNUMBER(E407)),ROUND(IF(E407&lt;D407,E407+1-D407,E407-D407)*1440,2),IF(ISNUMBER(N407),N407,""))</f>
        <v/>
      </c>
      <c r="G407" s="10" t="n"/>
      <c r="H407" s="6">
        <f>IF(G407="","",IFERROR(VLOOKUP(G407,MOT,3,FALSE),"código inválido"))</f>
        <v/>
      </c>
      <c r="I407" s="10" t="n"/>
      <c r="J407" s="16" t="n"/>
      <c r="K407" s="16" t="n"/>
      <c r="L407" s="16" t="n"/>
      <c r="M407" s="16" t="n"/>
      <c r="N407" s="10" t="n"/>
      <c r="O407" s="6">
        <f>IF(G407="","",IFERROR(VLOOKUP(G407,MOT,2,FALSE),"código inválido"))</f>
        <v/>
      </c>
      <c r="P407" s="12">
        <f>IF(ISNUMBER(J407),COUNT(J$6:J407),"")</f>
        <v/>
      </c>
    </row>
    <row r="408">
      <c r="A408" s="13" t="n"/>
      <c r="B408" s="10" t="n"/>
      <c r="C408" s="10" t="n"/>
      <c r="D408" s="14" t="n"/>
      <c r="E408" s="14" t="n"/>
      <c r="F408" s="15">
        <f>IF(AND(ISNUMBER(D408),ISNUMBER(E408)),ROUND(IF(E408&lt;D408,E408+1-D408,E408-D408)*1440,2),IF(ISNUMBER(N408),N408,""))</f>
        <v/>
      </c>
      <c r="G408" s="10" t="n"/>
      <c r="H408" s="6">
        <f>IF(G408="","",IFERROR(VLOOKUP(G408,MOT,3,FALSE),"código inválido"))</f>
        <v/>
      </c>
      <c r="I408" s="10" t="n"/>
      <c r="J408" s="16" t="n"/>
      <c r="K408" s="16" t="n"/>
      <c r="L408" s="16" t="n"/>
      <c r="M408" s="16" t="n"/>
      <c r="N408" s="10" t="n"/>
      <c r="O408" s="6">
        <f>IF(G408="","",IFERROR(VLOOKUP(G408,MOT,2,FALSE),"código inválido"))</f>
        <v/>
      </c>
      <c r="P408" s="12">
        <f>IF(ISNUMBER(J408),COUNT(J$6:J408),"")</f>
        <v/>
      </c>
    </row>
    <row r="409">
      <c r="A409" s="13" t="n"/>
      <c r="B409" s="10" t="n"/>
      <c r="C409" s="10" t="n"/>
      <c r="D409" s="14" t="n"/>
      <c r="E409" s="14" t="n"/>
      <c r="F409" s="15">
        <f>IF(AND(ISNUMBER(D409),ISNUMBER(E409)),ROUND(IF(E409&lt;D409,E409+1-D409,E409-D409)*1440,2),IF(ISNUMBER(N409),N409,""))</f>
        <v/>
      </c>
      <c r="G409" s="10" t="n"/>
      <c r="H409" s="6">
        <f>IF(G409="","",IFERROR(VLOOKUP(G409,MOT,3,FALSE),"código inválido"))</f>
        <v/>
      </c>
      <c r="I409" s="10" t="n"/>
      <c r="J409" s="16" t="n"/>
      <c r="K409" s="16" t="n"/>
      <c r="L409" s="16" t="n"/>
      <c r="M409" s="16" t="n"/>
      <c r="N409" s="10" t="n"/>
      <c r="O409" s="6">
        <f>IF(G409="","",IFERROR(VLOOKUP(G409,MOT,2,FALSE),"código inválido"))</f>
        <v/>
      </c>
      <c r="P409" s="12">
        <f>IF(ISNUMBER(J409),COUNT(J$6:J409),"")</f>
        <v/>
      </c>
    </row>
    <row r="410">
      <c r="A410" s="13" t="n"/>
      <c r="B410" s="10" t="n"/>
      <c r="C410" s="10" t="n"/>
      <c r="D410" s="14" t="n"/>
      <c r="E410" s="14" t="n"/>
      <c r="F410" s="15">
        <f>IF(AND(ISNUMBER(D410),ISNUMBER(E410)),ROUND(IF(E410&lt;D410,E410+1-D410,E410-D410)*1440,2),IF(ISNUMBER(N410),N410,""))</f>
        <v/>
      </c>
      <c r="G410" s="10" t="n"/>
      <c r="H410" s="6">
        <f>IF(G410="","",IFERROR(VLOOKUP(G410,MOT,3,FALSE),"código inválido"))</f>
        <v/>
      </c>
      <c r="I410" s="10" t="n"/>
      <c r="J410" s="16" t="n"/>
      <c r="K410" s="16" t="n"/>
      <c r="L410" s="16" t="n"/>
      <c r="M410" s="16" t="n"/>
      <c r="N410" s="10" t="n"/>
      <c r="O410" s="6">
        <f>IF(G410="","",IFERROR(VLOOKUP(G410,MOT,2,FALSE),"código inválido"))</f>
        <v/>
      </c>
      <c r="P410" s="12">
        <f>IF(ISNUMBER(J410),COUNT(J$6:J410),"")</f>
        <v/>
      </c>
    </row>
    <row r="411">
      <c r="A411" s="13" t="n"/>
      <c r="B411" s="10" t="n"/>
      <c r="C411" s="10" t="n"/>
      <c r="D411" s="14" t="n"/>
      <c r="E411" s="14" t="n"/>
      <c r="F411" s="15">
        <f>IF(AND(ISNUMBER(D411),ISNUMBER(E411)),ROUND(IF(E411&lt;D411,E411+1-D411,E411-D411)*1440,2),IF(ISNUMBER(N411),N411,""))</f>
        <v/>
      </c>
      <c r="G411" s="10" t="n"/>
      <c r="H411" s="6">
        <f>IF(G411="","",IFERROR(VLOOKUP(G411,MOT,3,FALSE),"código inválido"))</f>
        <v/>
      </c>
      <c r="I411" s="10" t="n"/>
      <c r="J411" s="16" t="n"/>
      <c r="K411" s="16" t="n"/>
      <c r="L411" s="16" t="n"/>
      <c r="M411" s="16" t="n"/>
      <c r="N411" s="10" t="n"/>
      <c r="O411" s="6">
        <f>IF(G411="","",IFERROR(VLOOKUP(G411,MOT,2,FALSE),"código inválido"))</f>
        <v/>
      </c>
      <c r="P411" s="12">
        <f>IF(ISNUMBER(J411),COUNT(J$6:J411),"")</f>
        <v/>
      </c>
    </row>
    <row r="412">
      <c r="A412" s="13" t="n"/>
      <c r="B412" s="10" t="n"/>
      <c r="C412" s="10" t="n"/>
      <c r="D412" s="14" t="n"/>
      <c r="E412" s="14" t="n"/>
      <c r="F412" s="15">
        <f>IF(AND(ISNUMBER(D412),ISNUMBER(E412)),ROUND(IF(E412&lt;D412,E412+1-D412,E412-D412)*1440,2),IF(ISNUMBER(N412),N412,""))</f>
        <v/>
      </c>
      <c r="G412" s="10" t="n"/>
      <c r="H412" s="6">
        <f>IF(G412="","",IFERROR(VLOOKUP(G412,MOT,3,FALSE),"código inválido"))</f>
        <v/>
      </c>
      <c r="I412" s="10" t="n"/>
      <c r="J412" s="16" t="n"/>
      <c r="K412" s="16" t="n"/>
      <c r="L412" s="16" t="n"/>
      <c r="M412" s="16" t="n"/>
      <c r="N412" s="10" t="n"/>
      <c r="O412" s="6">
        <f>IF(G412="","",IFERROR(VLOOKUP(G412,MOT,2,FALSE),"código inválido"))</f>
        <v/>
      </c>
      <c r="P412" s="12">
        <f>IF(ISNUMBER(J412),COUNT(J$6:J412),"")</f>
        <v/>
      </c>
    </row>
    <row r="413">
      <c r="A413" s="13" t="n"/>
      <c r="B413" s="10" t="n"/>
      <c r="C413" s="10" t="n"/>
      <c r="D413" s="14" t="n"/>
      <c r="E413" s="14" t="n"/>
      <c r="F413" s="15">
        <f>IF(AND(ISNUMBER(D413),ISNUMBER(E413)),ROUND(IF(E413&lt;D413,E413+1-D413,E413-D413)*1440,2),IF(ISNUMBER(N413),N413,""))</f>
        <v/>
      </c>
      <c r="G413" s="10" t="n"/>
      <c r="H413" s="6">
        <f>IF(G413="","",IFERROR(VLOOKUP(G413,MOT,3,FALSE),"código inválido"))</f>
        <v/>
      </c>
      <c r="I413" s="10" t="n"/>
      <c r="J413" s="16" t="n"/>
      <c r="K413" s="16" t="n"/>
      <c r="L413" s="16" t="n"/>
      <c r="M413" s="16" t="n"/>
      <c r="N413" s="10" t="n"/>
      <c r="O413" s="6">
        <f>IF(G413="","",IFERROR(VLOOKUP(G413,MOT,2,FALSE),"código inválido"))</f>
        <v/>
      </c>
      <c r="P413" s="12">
        <f>IF(ISNUMBER(J413),COUNT(J$6:J413),"")</f>
        <v/>
      </c>
    </row>
    <row r="414">
      <c r="A414" s="13" t="n"/>
      <c r="B414" s="10" t="n"/>
      <c r="C414" s="10" t="n"/>
      <c r="D414" s="14" t="n"/>
      <c r="E414" s="14" t="n"/>
      <c r="F414" s="15">
        <f>IF(AND(ISNUMBER(D414),ISNUMBER(E414)),ROUND(IF(E414&lt;D414,E414+1-D414,E414-D414)*1440,2),IF(ISNUMBER(N414),N414,""))</f>
        <v/>
      </c>
      <c r="G414" s="10" t="n"/>
      <c r="H414" s="6">
        <f>IF(G414="","",IFERROR(VLOOKUP(G414,MOT,3,FALSE),"código inválido"))</f>
        <v/>
      </c>
      <c r="I414" s="10" t="n"/>
      <c r="J414" s="16" t="n"/>
      <c r="K414" s="16" t="n"/>
      <c r="L414" s="16" t="n"/>
      <c r="M414" s="16" t="n"/>
      <c r="N414" s="10" t="n"/>
      <c r="O414" s="6">
        <f>IF(G414="","",IFERROR(VLOOKUP(G414,MOT,2,FALSE),"código inválido"))</f>
        <v/>
      </c>
      <c r="P414" s="12">
        <f>IF(ISNUMBER(J414),COUNT(J$6:J414),"")</f>
        <v/>
      </c>
    </row>
    <row r="415">
      <c r="A415" s="13" t="n"/>
      <c r="B415" s="10" t="n"/>
      <c r="C415" s="10" t="n"/>
      <c r="D415" s="14" t="n"/>
      <c r="E415" s="14" t="n"/>
      <c r="F415" s="15">
        <f>IF(AND(ISNUMBER(D415),ISNUMBER(E415)),ROUND(IF(E415&lt;D415,E415+1-D415,E415-D415)*1440,2),IF(ISNUMBER(N415),N415,""))</f>
        <v/>
      </c>
      <c r="G415" s="10" t="n"/>
      <c r="H415" s="6">
        <f>IF(G415="","",IFERROR(VLOOKUP(G415,MOT,3,FALSE),"código inválido"))</f>
        <v/>
      </c>
      <c r="I415" s="10" t="n"/>
      <c r="J415" s="16" t="n"/>
      <c r="K415" s="16" t="n"/>
      <c r="L415" s="16" t="n"/>
      <c r="M415" s="16" t="n"/>
      <c r="N415" s="10" t="n"/>
      <c r="O415" s="6">
        <f>IF(G415="","",IFERROR(VLOOKUP(G415,MOT,2,FALSE),"código inválido"))</f>
        <v/>
      </c>
      <c r="P415" s="12">
        <f>IF(ISNUMBER(J415),COUNT(J$6:J415),"")</f>
        <v/>
      </c>
    </row>
    <row r="416">
      <c r="A416" s="13" t="n"/>
      <c r="B416" s="10" t="n"/>
      <c r="C416" s="10" t="n"/>
      <c r="D416" s="14" t="n"/>
      <c r="E416" s="14" t="n"/>
      <c r="F416" s="15">
        <f>IF(AND(ISNUMBER(D416),ISNUMBER(E416)),ROUND(IF(E416&lt;D416,E416+1-D416,E416-D416)*1440,2),IF(ISNUMBER(N416),N416,""))</f>
        <v/>
      </c>
      <c r="G416" s="10" t="n"/>
      <c r="H416" s="6">
        <f>IF(G416="","",IFERROR(VLOOKUP(G416,MOT,3,FALSE),"código inválido"))</f>
        <v/>
      </c>
      <c r="I416" s="10" t="n"/>
      <c r="J416" s="16" t="n"/>
      <c r="K416" s="16" t="n"/>
      <c r="L416" s="16" t="n"/>
      <c r="M416" s="16" t="n"/>
      <c r="N416" s="10" t="n"/>
      <c r="O416" s="6">
        <f>IF(G416="","",IFERROR(VLOOKUP(G416,MOT,2,FALSE),"código inválido"))</f>
        <v/>
      </c>
      <c r="P416" s="12">
        <f>IF(ISNUMBER(J416),COUNT(J$6:J416),"")</f>
        <v/>
      </c>
    </row>
    <row r="417">
      <c r="A417" s="13" t="n"/>
      <c r="B417" s="10" t="n"/>
      <c r="C417" s="10" t="n"/>
      <c r="D417" s="14" t="n"/>
      <c r="E417" s="14" t="n"/>
      <c r="F417" s="15">
        <f>IF(AND(ISNUMBER(D417),ISNUMBER(E417)),ROUND(IF(E417&lt;D417,E417+1-D417,E417-D417)*1440,2),IF(ISNUMBER(N417),N417,""))</f>
        <v/>
      </c>
      <c r="G417" s="10" t="n"/>
      <c r="H417" s="6">
        <f>IF(G417="","",IFERROR(VLOOKUP(G417,MOT,3,FALSE),"código inválido"))</f>
        <v/>
      </c>
      <c r="I417" s="10" t="n"/>
      <c r="J417" s="16" t="n"/>
      <c r="K417" s="16" t="n"/>
      <c r="L417" s="16" t="n"/>
      <c r="M417" s="16" t="n"/>
      <c r="N417" s="10" t="n"/>
      <c r="O417" s="6">
        <f>IF(G417="","",IFERROR(VLOOKUP(G417,MOT,2,FALSE),"código inválido"))</f>
        <v/>
      </c>
      <c r="P417" s="12">
        <f>IF(ISNUMBER(J417),COUNT(J$6:J417),"")</f>
        <v/>
      </c>
    </row>
    <row r="418">
      <c r="A418" s="13" t="n"/>
      <c r="B418" s="10" t="n"/>
      <c r="C418" s="10" t="n"/>
      <c r="D418" s="14" t="n"/>
      <c r="E418" s="14" t="n"/>
      <c r="F418" s="15">
        <f>IF(AND(ISNUMBER(D418),ISNUMBER(E418)),ROUND(IF(E418&lt;D418,E418+1-D418,E418-D418)*1440,2),IF(ISNUMBER(N418),N418,""))</f>
        <v/>
      </c>
      <c r="G418" s="10" t="n"/>
      <c r="H418" s="6">
        <f>IF(G418="","",IFERROR(VLOOKUP(G418,MOT,3,FALSE),"código inválido"))</f>
        <v/>
      </c>
      <c r="I418" s="10" t="n"/>
      <c r="J418" s="16" t="n"/>
      <c r="K418" s="16" t="n"/>
      <c r="L418" s="16" t="n"/>
      <c r="M418" s="16" t="n"/>
      <c r="N418" s="10" t="n"/>
      <c r="O418" s="6">
        <f>IF(G418="","",IFERROR(VLOOKUP(G418,MOT,2,FALSE),"código inválido"))</f>
        <v/>
      </c>
      <c r="P418" s="12">
        <f>IF(ISNUMBER(J418),COUNT(J$6:J418),"")</f>
        <v/>
      </c>
    </row>
    <row r="419">
      <c r="A419" s="13" t="n"/>
      <c r="B419" s="10" t="n"/>
      <c r="C419" s="10" t="n"/>
      <c r="D419" s="14" t="n"/>
      <c r="E419" s="14" t="n"/>
      <c r="F419" s="15">
        <f>IF(AND(ISNUMBER(D419),ISNUMBER(E419)),ROUND(IF(E419&lt;D419,E419+1-D419,E419-D419)*1440,2),IF(ISNUMBER(N419),N419,""))</f>
        <v/>
      </c>
      <c r="G419" s="10" t="n"/>
      <c r="H419" s="6">
        <f>IF(G419="","",IFERROR(VLOOKUP(G419,MOT,3,FALSE),"código inválido"))</f>
        <v/>
      </c>
      <c r="I419" s="10" t="n"/>
      <c r="J419" s="16" t="n"/>
      <c r="K419" s="16" t="n"/>
      <c r="L419" s="16" t="n"/>
      <c r="M419" s="16" t="n"/>
      <c r="N419" s="10" t="n"/>
      <c r="O419" s="6">
        <f>IF(G419="","",IFERROR(VLOOKUP(G419,MOT,2,FALSE),"código inválido"))</f>
        <v/>
      </c>
      <c r="P419" s="12">
        <f>IF(ISNUMBER(J419),COUNT(J$6:J419),"")</f>
        <v/>
      </c>
    </row>
    <row r="420">
      <c r="A420" s="13" t="n"/>
      <c r="B420" s="10" t="n"/>
      <c r="C420" s="10" t="n"/>
      <c r="D420" s="14" t="n"/>
      <c r="E420" s="14" t="n"/>
      <c r="F420" s="15">
        <f>IF(AND(ISNUMBER(D420),ISNUMBER(E420)),ROUND(IF(E420&lt;D420,E420+1-D420,E420-D420)*1440,2),IF(ISNUMBER(N420),N420,""))</f>
        <v/>
      </c>
      <c r="G420" s="10" t="n"/>
      <c r="H420" s="6">
        <f>IF(G420="","",IFERROR(VLOOKUP(G420,MOT,3,FALSE),"código inválido"))</f>
        <v/>
      </c>
      <c r="I420" s="10" t="n"/>
      <c r="J420" s="16" t="n"/>
      <c r="K420" s="16" t="n"/>
      <c r="L420" s="16" t="n"/>
      <c r="M420" s="16" t="n"/>
      <c r="N420" s="10" t="n"/>
      <c r="O420" s="6">
        <f>IF(G420="","",IFERROR(VLOOKUP(G420,MOT,2,FALSE),"código inválido"))</f>
        <v/>
      </c>
      <c r="P420" s="12">
        <f>IF(ISNUMBER(J420),COUNT(J$6:J420),"")</f>
        <v/>
      </c>
    </row>
    <row r="421">
      <c r="A421" s="13" t="n"/>
      <c r="B421" s="10" t="n"/>
      <c r="C421" s="10" t="n"/>
      <c r="D421" s="14" t="n"/>
      <c r="E421" s="14" t="n"/>
      <c r="F421" s="15">
        <f>IF(AND(ISNUMBER(D421),ISNUMBER(E421)),ROUND(IF(E421&lt;D421,E421+1-D421,E421-D421)*1440,2),IF(ISNUMBER(N421),N421,""))</f>
        <v/>
      </c>
      <c r="G421" s="10" t="n"/>
      <c r="H421" s="6">
        <f>IF(G421="","",IFERROR(VLOOKUP(G421,MOT,3,FALSE),"código inválido"))</f>
        <v/>
      </c>
      <c r="I421" s="10" t="n"/>
      <c r="J421" s="16" t="n"/>
      <c r="K421" s="16" t="n"/>
      <c r="L421" s="16" t="n"/>
      <c r="M421" s="16" t="n"/>
      <c r="N421" s="10" t="n"/>
      <c r="O421" s="6">
        <f>IF(G421="","",IFERROR(VLOOKUP(G421,MOT,2,FALSE),"código inválido"))</f>
        <v/>
      </c>
      <c r="P421" s="12">
        <f>IF(ISNUMBER(J421),COUNT(J$6:J421),"")</f>
        <v/>
      </c>
    </row>
    <row r="422">
      <c r="A422" s="13" t="n"/>
      <c r="B422" s="10" t="n"/>
      <c r="C422" s="10" t="n"/>
      <c r="D422" s="14" t="n"/>
      <c r="E422" s="14" t="n"/>
      <c r="F422" s="15">
        <f>IF(AND(ISNUMBER(D422),ISNUMBER(E422)),ROUND(IF(E422&lt;D422,E422+1-D422,E422-D422)*1440,2),IF(ISNUMBER(N422),N422,""))</f>
        <v/>
      </c>
      <c r="G422" s="10" t="n"/>
      <c r="H422" s="6">
        <f>IF(G422="","",IFERROR(VLOOKUP(G422,MOT,3,FALSE),"código inválido"))</f>
        <v/>
      </c>
      <c r="I422" s="10" t="n"/>
      <c r="J422" s="16" t="n"/>
      <c r="K422" s="16" t="n"/>
      <c r="L422" s="16" t="n"/>
      <c r="M422" s="16" t="n"/>
      <c r="N422" s="10" t="n"/>
      <c r="O422" s="6">
        <f>IF(G422="","",IFERROR(VLOOKUP(G422,MOT,2,FALSE),"código inválido"))</f>
        <v/>
      </c>
      <c r="P422" s="12">
        <f>IF(ISNUMBER(J422),COUNT(J$6:J422),"")</f>
        <v/>
      </c>
    </row>
    <row r="423">
      <c r="A423" s="13" t="n"/>
      <c r="B423" s="10" t="n"/>
      <c r="C423" s="10" t="n"/>
      <c r="D423" s="14" t="n"/>
      <c r="E423" s="14" t="n"/>
      <c r="F423" s="15">
        <f>IF(AND(ISNUMBER(D423),ISNUMBER(E423)),ROUND(IF(E423&lt;D423,E423+1-D423,E423-D423)*1440,2),IF(ISNUMBER(N423),N423,""))</f>
        <v/>
      </c>
      <c r="G423" s="10" t="n"/>
      <c r="H423" s="6">
        <f>IF(G423="","",IFERROR(VLOOKUP(G423,MOT,3,FALSE),"código inválido"))</f>
        <v/>
      </c>
      <c r="I423" s="10" t="n"/>
      <c r="J423" s="16" t="n"/>
      <c r="K423" s="16" t="n"/>
      <c r="L423" s="16" t="n"/>
      <c r="M423" s="16" t="n"/>
      <c r="N423" s="10" t="n"/>
      <c r="O423" s="6">
        <f>IF(G423="","",IFERROR(VLOOKUP(G423,MOT,2,FALSE),"código inválido"))</f>
        <v/>
      </c>
      <c r="P423" s="12">
        <f>IF(ISNUMBER(J423),COUNT(J$6:J423),"")</f>
        <v/>
      </c>
    </row>
    <row r="424">
      <c r="A424" s="13" t="n"/>
      <c r="B424" s="10" t="n"/>
      <c r="C424" s="10" t="n"/>
      <c r="D424" s="14" t="n"/>
      <c r="E424" s="14" t="n"/>
      <c r="F424" s="15">
        <f>IF(AND(ISNUMBER(D424),ISNUMBER(E424)),ROUND(IF(E424&lt;D424,E424+1-D424,E424-D424)*1440,2),IF(ISNUMBER(N424),N424,""))</f>
        <v/>
      </c>
      <c r="G424" s="10" t="n"/>
      <c r="H424" s="6">
        <f>IF(G424="","",IFERROR(VLOOKUP(G424,MOT,3,FALSE),"código inválido"))</f>
        <v/>
      </c>
      <c r="I424" s="10" t="n"/>
      <c r="J424" s="16" t="n"/>
      <c r="K424" s="16" t="n"/>
      <c r="L424" s="16" t="n"/>
      <c r="M424" s="16" t="n"/>
      <c r="N424" s="10" t="n"/>
      <c r="O424" s="6">
        <f>IF(G424="","",IFERROR(VLOOKUP(G424,MOT,2,FALSE),"código inválido"))</f>
        <v/>
      </c>
      <c r="P424" s="12">
        <f>IF(ISNUMBER(J424),COUNT(J$6:J424),"")</f>
        <v/>
      </c>
    </row>
    <row r="425">
      <c r="A425" s="13" t="n"/>
      <c r="B425" s="10" t="n"/>
      <c r="C425" s="10" t="n"/>
      <c r="D425" s="14" t="n"/>
      <c r="E425" s="14" t="n"/>
      <c r="F425" s="15">
        <f>IF(AND(ISNUMBER(D425),ISNUMBER(E425)),ROUND(IF(E425&lt;D425,E425+1-D425,E425-D425)*1440,2),IF(ISNUMBER(N425),N425,""))</f>
        <v/>
      </c>
      <c r="G425" s="10" t="n"/>
      <c r="H425" s="6">
        <f>IF(G425="","",IFERROR(VLOOKUP(G425,MOT,3,FALSE),"código inválido"))</f>
        <v/>
      </c>
      <c r="I425" s="10" t="n"/>
      <c r="J425" s="16" t="n"/>
      <c r="K425" s="16" t="n"/>
      <c r="L425" s="16" t="n"/>
      <c r="M425" s="16" t="n"/>
      <c r="N425" s="10" t="n"/>
      <c r="O425" s="6">
        <f>IF(G425="","",IFERROR(VLOOKUP(G425,MOT,2,FALSE),"código inválido"))</f>
        <v/>
      </c>
      <c r="P425" s="12">
        <f>IF(ISNUMBER(J425),COUNT(J$6:J425),"")</f>
        <v/>
      </c>
    </row>
    <row r="426">
      <c r="A426" s="13" t="n"/>
      <c r="B426" s="10" t="n"/>
      <c r="C426" s="10" t="n"/>
      <c r="D426" s="14" t="n"/>
      <c r="E426" s="14" t="n"/>
      <c r="F426" s="15">
        <f>IF(AND(ISNUMBER(D426),ISNUMBER(E426)),ROUND(IF(E426&lt;D426,E426+1-D426,E426-D426)*1440,2),IF(ISNUMBER(N426),N426,""))</f>
        <v/>
      </c>
      <c r="G426" s="10" t="n"/>
      <c r="H426" s="6">
        <f>IF(G426="","",IFERROR(VLOOKUP(G426,MOT,3,FALSE),"código inválido"))</f>
        <v/>
      </c>
      <c r="I426" s="10" t="n"/>
      <c r="J426" s="16" t="n"/>
      <c r="K426" s="16" t="n"/>
      <c r="L426" s="16" t="n"/>
      <c r="M426" s="16" t="n"/>
      <c r="N426" s="10" t="n"/>
      <c r="O426" s="6">
        <f>IF(G426="","",IFERROR(VLOOKUP(G426,MOT,2,FALSE),"código inválido"))</f>
        <v/>
      </c>
      <c r="P426" s="12">
        <f>IF(ISNUMBER(J426),COUNT(J$6:J426),"")</f>
        <v/>
      </c>
    </row>
    <row r="427">
      <c r="A427" s="13" t="n"/>
      <c r="B427" s="10" t="n"/>
      <c r="C427" s="10" t="n"/>
      <c r="D427" s="14" t="n"/>
      <c r="E427" s="14" t="n"/>
      <c r="F427" s="15">
        <f>IF(AND(ISNUMBER(D427),ISNUMBER(E427)),ROUND(IF(E427&lt;D427,E427+1-D427,E427-D427)*1440,2),IF(ISNUMBER(N427),N427,""))</f>
        <v/>
      </c>
      <c r="G427" s="10" t="n"/>
      <c r="H427" s="6">
        <f>IF(G427="","",IFERROR(VLOOKUP(G427,MOT,3,FALSE),"código inválido"))</f>
        <v/>
      </c>
      <c r="I427" s="10" t="n"/>
      <c r="J427" s="16" t="n"/>
      <c r="K427" s="16" t="n"/>
      <c r="L427" s="16" t="n"/>
      <c r="M427" s="16" t="n"/>
      <c r="N427" s="10" t="n"/>
      <c r="O427" s="6">
        <f>IF(G427="","",IFERROR(VLOOKUP(G427,MOT,2,FALSE),"código inválido"))</f>
        <v/>
      </c>
      <c r="P427" s="12">
        <f>IF(ISNUMBER(J427),COUNT(J$6:J427),"")</f>
        <v/>
      </c>
    </row>
    <row r="428">
      <c r="A428" s="13" t="n"/>
      <c r="B428" s="10" t="n"/>
      <c r="C428" s="10" t="n"/>
      <c r="D428" s="14" t="n"/>
      <c r="E428" s="14" t="n"/>
      <c r="F428" s="15">
        <f>IF(AND(ISNUMBER(D428),ISNUMBER(E428)),ROUND(IF(E428&lt;D428,E428+1-D428,E428-D428)*1440,2),IF(ISNUMBER(N428),N428,""))</f>
        <v/>
      </c>
      <c r="G428" s="10" t="n"/>
      <c r="H428" s="6">
        <f>IF(G428="","",IFERROR(VLOOKUP(G428,MOT,3,FALSE),"código inválido"))</f>
        <v/>
      </c>
      <c r="I428" s="10" t="n"/>
      <c r="J428" s="16" t="n"/>
      <c r="K428" s="16" t="n"/>
      <c r="L428" s="16" t="n"/>
      <c r="M428" s="16" t="n"/>
      <c r="N428" s="10" t="n"/>
      <c r="O428" s="6">
        <f>IF(G428="","",IFERROR(VLOOKUP(G428,MOT,2,FALSE),"código inválido"))</f>
        <v/>
      </c>
      <c r="P428" s="12">
        <f>IF(ISNUMBER(J428),COUNT(J$6:J428),"")</f>
        <v/>
      </c>
    </row>
    <row r="429">
      <c r="A429" s="13" t="n"/>
      <c r="B429" s="10" t="n"/>
      <c r="C429" s="10" t="n"/>
      <c r="D429" s="14" t="n"/>
      <c r="E429" s="14" t="n"/>
      <c r="F429" s="15">
        <f>IF(AND(ISNUMBER(D429),ISNUMBER(E429)),ROUND(IF(E429&lt;D429,E429+1-D429,E429-D429)*1440,2),IF(ISNUMBER(N429),N429,""))</f>
        <v/>
      </c>
      <c r="G429" s="10" t="n"/>
      <c r="H429" s="6">
        <f>IF(G429="","",IFERROR(VLOOKUP(G429,MOT,3,FALSE),"código inválido"))</f>
        <v/>
      </c>
      <c r="I429" s="10" t="n"/>
      <c r="J429" s="16" t="n"/>
      <c r="K429" s="16" t="n"/>
      <c r="L429" s="16" t="n"/>
      <c r="M429" s="16" t="n"/>
      <c r="N429" s="10" t="n"/>
      <c r="O429" s="6">
        <f>IF(G429="","",IFERROR(VLOOKUP(G429,MOT,2,FALSE),"código inválido"))</f>
        <v/>
      </c>
      <c r="P429" s="12">
        <f>IF(ISNUMBER(J429),COUNT(J$6:J429),"")</f>
        <v/>
      </c>
    </row>
    <row r="430">
      <c r="A430" s="13" t="n"/>
      <c r="B430" s="10" t="n"/>
      <c r="C430" s="10" t="n"/>
      <c r="D430" s="14" t="n"/>
      <c r="E430" s="14" t="n"/>
      <c r="F430" s="15">
        <f>IF(AND(ISNUMBER(D430),ISNUMBER(E430)),ROUND(IF(E430&lt;D430,E430+1-D430,E430-D430)*1440,2),IF(ISNUMBER(N430),N430,""))</f>
        <v/>
      </c>
      <c r="G430" s="10" t="n"/>
      <c r="H430" s="6">
        <f>IF(G430="","",IFERROR(VLOOKUP(G430,MOT,3,FALSE),"código inválido"))</f>
        <v/>
      </c>
      <c r="I430" s="10" t="n"/>
      <c r="J430" s="16" t="n"/>
      <c r="K430" s="16" t="n"/>
      <c r="L430" s="16" t="n"/>
      <c r="M430" s="16" t="n"/>
      <c r="N430" s="10" t="n"/>
      <c r="O430" s="6">
        <f>IF(G430="","",IFERROR(VLOOKUP(G430,MOT,2,FALSE),"código inválido"))</f>
        <v/>
      </c>
      <c r="P430" s="12">
        <f>IF(ISNUMBER(J430),COUNT(J$6:J430),"")</f>
        <v/>
      </c>
    </row>
    <row r="431">
      <c r="A431" s="13" t="n"/>
      <c r="B431" s="10" t="n"/>
      <c r="C431" s="10" t="n"/>
      <c r="D431" s="14" t="n"/>
      <c r="E431" s="14" t="n"/>
      <c r="F431" s="15">
        <f>IF(AND(ISNUMBER(D431),ISNUMBER(E431)),ROUND(IF(E431&lt;D431,E431+1-D431,E431-D431)*1440,2),IF(ISNUMBER(N431),N431,""))</f>
        <v/>
      </c>
      <c r="G431" s="10" t="n"/>
      <c r="H431" s="6">
        <f>IF(G431="","",IFERROR(VLOOKUP(G431,MOT,3,FALSE),"código inválido"))</f>
        <v/>
      </c>
      <c r="I431" s="10" t="n"/>
      <c r="J431" s="16" t="n"/>
      <c r="K431" s="16" t="n"/>
      <c r="L431" s="16" t="n"/>
      <c r="M431" s="16" t="n"/>
      <c r="N431" s="10" t="n"/>
      <c r="O431" s="6">
        <f>IF(G431="","",IFERROR(VLOOKUP(G431,MOT,2,FALSE),"código inválido"))</f>
        <v/>
      </c>
      <c r="P431" s="12">
        <f>IF(ISNUMBER(J431),COUNT(J$6:J431),"")</f>
        <v/>
      </c>
    </row>
    <row r="432">
      <c r="A432" s="13" t="n"/>
      <c r="B432" s="10" t="n"/>
      <c r="C432" s="10" t="n"/>
      <c r="D432" s="14" t="n"/>
      <c r="E432" s="14" t="n"/>
      <c r="F432" s="15">
        <f>IF(AND(ISNUMBER(D432),ISNUMBER(E432)),ROUND(IF(E432&lt;D432,E432+1-D432,E432-D432)*1440,2),IF(ISNUMBER(N432),N432,""))</f>
        <v/>
      </c>
      <c r="G432" s="10" t="n"/>
      <c r="H432" s="6">
        <f>IF(G432="","",IFERROR(VLOOKUP(G432,MOT,3,FALSE),"código inválido"))</f>
        <v/>
      </c>
      <c r="I432" s="10" t="n"/>
      <c r="J432" s="16" t="n"/>
      <c r="K432" s="16" t="n"/>
      <c r="L432" s="16" t="n"/>
      <c r="M432" s="16" t="n"/>
      <c r="N432" s="10" t="n"/>
      <c r="O432" s="6">
        <f>IF(G432="","",IFERROR(VLOOKUP(G432,MOT,2,FALSE),"código inválido"))</f>
        <v/>
      </c>
      <c r="P432" s="12">
        <f>IF(ISNUMBER(J432),COUNT(J$6:J432),"")</f>
        <v/>
      </c>
    </row>
    <row r="433">
      <c r="A433" s="13" t="n"/>
      <c r="B433" s="10" t="n"/>
      <c r="C433" s="10" t="n"/>
      <c r="D433" s="14" t="n"/>
      <c r="E433" s="14" t="n"/>
      <c r="F433" s="15">
        <f>IF(AND(ISNUMBER(D433),ISNUMBER(E433)),ROUND(IF(E433&lt;D433,E433+1-D433,E433-D433)*1440,2),IF(ISNUMBER(N433),N433,""))</f>
        <v/>
      </c>
      <c r="G433" s="10" t="n"/>
      <c r="H433" s="6">
        <f>IF(G433="","",IFERROR(VLOOKUP(G433,MOT,3,FALSE),"código inválido"))</f>
        <v/>
      </c>
      <c r="I433" s="10" t="n"/>
      <c r="J433" s="16" t="n"/>
      <c r="K433" s="16" t="n"/>
      <c r="L433" s="16" t="n"/>
      <c r="M433" s="16" t="n"/>
      <c r="N433" s="10" t="n"/>
      <c r="O433" s="6">
        <f>IF(G433="","",IFERROR(VLOOKUP(G433,MOT,2,FALSE),"código inválido"))</f>
        <v/>
      </c>
      <c r="P433" s="12">
        <f>IF(ISNUMBER(J433),COUNT(J$6:J433),"")</f>
        <v/>
      </c>
    </row>
    <row r="434">
      <c r="A434" s="13" t="n"/>
      <c r="B434" s="10" t="n"/>
      <c r="C434" s="10" t="n"/>
      <c r="D434" s="14" t="n"/>
      <c r="E434" s="14" t="n"/>
      <c r="F434" s="15">
        <f>IF(AND(ISNUMBER(D434),ISNUMBER(E434)),ROUND(IF(E434&lt;D434,E434+1-D434,E434-D434)*1440,2),IF(ISNUMBER(N434),N434,""))</f>
        <v/>
      </c>
      <c r="G434" s="10" t="n"/>
      <c r="H434" s="6">
        <f>IF(G434="","",IFERROR(VLOOKUP(G434,MOT,3,FALSE),"código inválido"))</f>
        <v/>
      </c>
      <c r="I434" s="10" t="n"/>
      <c r="J434" s="16" t="n"/>
      <c r="K434" s="16" t="n"/>
      <c r="L434" s="16" t="n"/>
      <c r="M434" s="16" t="n"/>
      <c r="N434" s="10" t="n"/>
      <c r="O434" s="6">
        <f>IF(G434="","",IFERROR(VLOOKUP(G434,MOT,2,FALSE),"código inválido"))</f>
        <v/>
      </c>
      <c r="P434" s="12">
        <f>IF(ISNUMBER(J434),COUNT(J$6:J434),"")</f>
        <v/>
      </c>
    </row>
    <row r="435">
      <c r="A435" s="13" t="n"/>
      <c r="B435" s="10" t="n"/>
      <c r="C435" s="10" t="n"/>
      <c r="D435" s="14" t="n"/>
      <c r="E435" s="14" t="n"/>
      <c r="F435" s="15">
        <f>IF(AND(ISNUMBER(D435),ISNUMBER(E435)),ROUND(IF(E435&lt;D435,E435+1-D435,E435-D435)*1440,2),IF(ISNUMBER(N435),N435,""))</f>
        <v/>
      </c>
      <c r="G435" s="10" t="n"/>
      <c r="H435" s="6">
        <f>IF(G435="","",IFERROR(VLOOKUP(G435,MOT,3,FALSE),"código inválido"))</f>
        <v/>
      </c>
      <c r="I435" s="10" t="n"/>
      <c r="J435" s="16" t="n"/>
      <c r="K435" s="16" t="n"/>
      <c r="L435" s="16" t="n"/>
      <c r="M435" s="16" t="n"/>
      <c r="N435" s="10" t="n"/>
      <c r="O435" s="6">
        <f>IF(G435="","",IFERROR(VLOOKUP(G435,MOT,2,FALSE),"código inválido"))</f>
        <v/>
      </c>
      <c r="P435" s="12">
        <f>IF(ISNUMBER(J435),COUNT(J$6:J435),"")</f>
        <v/>
      </c>
    </row>
    <row r="436">
      <c r="A436" s="13" t="n"/>
      <c r="B436" s="10" t="n"/>
      <c r="C436" s="10" t="n"/>
      <c r="D436" s="14" t="n"/>
      <c r="E436" s="14" t="n"/>
      <c r="F436" s="15">
        <f>IF(AND(ISNUMBER(D436),ISNUMBER(E436)),ROUND(IF(E436&lt;D436,E436+1-D436,E436-D436)*1440,2),IF(ISNUMBER(N436),N436,""))</f>
        <v/>
      </c>
      <c r="G436" s="10" t="n"/>
      <c r="H436" s="6">
        <f>IF(G436="","",IFERROR(VLOOKUP(G436,MOT,3,FALSE),"código inválido"))</f>
        <v/>
      </c>
      <c r="I436" s="10" t="n"/>
      <c r="J436" s="16" t="n"/>
      <c r="K436" s="16" t="n"/>
      <c r="L436" s="16" t="n"/>
      <c r="M436" s="16" t="n"/>
      <c r="N436" s="10" t="n"/>
      <c r="O436" s="6">
        <f>IF(G436="","",IFERROR(VLOOKUP(G436,MOT,2,FALSE),"código inválido"))</f>
        <v/>
      </c>
      <c r="P436" s="12">
        <f>IF(ISNUMBER(J436),COUNT(J$6:J436),"")</f>
        <v/>
      </c>
    </row>
    <row r="437">
      <c r="A437" s="13" t="n"/>
      <c r="B437" s="10" t="n"/>
      <c r="C437" s="10" t="n"/>
      <c r="D437" s="14" t="n"/>
      <c r="E437" s="14" t="n"/>
      <c r="F437" s="15">
        <f>IF(AND(ISNUMBER(D437),ISNUMBER(E437)),ROUND(IF(E437&lt;D437,E437+1-D437,E437-D437)*1440,2),IF(ISNUMBER(N437),N437,""))</f>
        <v/>
      </c>
      <c r="G437" s="10" t="n"/>
      <c r="H437" s="6">
        <f>IF(G437="","",IFERROR(VLOOKUP(G437,MOT,3,FALSE),"código inválido"))</f>
        <v/>
      </c>
      <c r="I437" s="10" t="n"/>
      <c r="J437" s="16" t="n"/>
      <c r="K437" s="16" t="n"/>
      <c r="L437" s="16" t="n"/>
      <c r="M437" s="16" t="n"/>
      <c r="N437" s="10" t="n"/>
      <c r="O437" s="6">
        <f>IF(G437="","",IFERROR(VLOOKUP(G437,MOT,2,FALSE),"código inválido"))</f>
        <v/>
      </c>
      <c r="P437" s="12">
        <f>IF(ISNUMBER(J437),COUNT(J$6:J437),"")</f>
        <v/>
      </c>
    </row>
    <row r="438">
      <c r="A438" s="13" t="n"/>
      <c r="B438" s="10" t="n"/>
      <c r="C438" s="10" t="n"/>
      <c r="D438" s="14" t="n"/>
      <c r="E438" s="14" t="n"/>
      <c r="F438" s="15">
        <f>IF(AND(ISNUMBER(D438),ISNUMBER(E438)),ROUND(IF(E438&lt;D438,E438+1-D438,E438-D438)*1440,2),IF(ISNUMBER(N438),N438,""))</f>
        <v/>
      </c>
      <c r="G438" s="10" t="n"/>
      <c r="H438" s="6">
        <f>IF(G438="","",IFERROR(VLOOKUP(G438,MOT,3,FALSE),"código inválido"))</f>
        <v/>
      </c>
      <c r="I438" s="10" t="n"/>
      <c r="J438" s="16" t="n"/>
      <c r="K438" s="16" t="n"/>
      <c r="L438" s="16" t="n"/>
      <c r="M438" s="16" t="n"/>
      <c r="N438" s="10" t="n"/>
      <c r="O438" s="6">
        <f>IF(G438="","",IFERROR(VLOOKUP(G438,MOT,2,FALSE),"código inválido"))</f>
        <v/>
      </c>
      <c r="P438" s="12">
        <f>IF(ISNUMBER(J438),COUNT(J$6:J438),"")</f>
        <v/>
      </c>
    </row>
    <row r="439">
      <c r="A439" s="13" t="n"/>
      <c r="B439" s="10" t="n"/>
      <c r="C439" s="10" t="n"/>
      <c r="D439" s="14" t="n"/>
      <c r="E439" s="14" t="n"/>
      <c r="F439" s="15">
        <f>IF(AND(ISNUMBER(D439),ISNUMBER(E439)),ROUND(IF(E439&lt;D439,E439+1-D439,E439-D439)*1440,2),IF(ISNUMBER(N439),N439,""))</f>
        <v/>
      </c>
      <c r="G439" s="10" t="n"/>
      <c r="H439" s="6">
        <f>IF(G439="","",IFERROR(VLOOKUP(G439,MOT,3,FALSE),"código inválido"))</f>
        <v/>
      </c>
      <c r="I439" s="10" t="n"/>
      <c r="J439" s="16" t="n"/>
      <c r="K439" s="16" t="n"/>
      <c r="L439" s="16" t="n"/>
      <c r="M439" s="16" t="n"/>
      <c r="N439" s="10" t="n"/>
      <c r="O439" s="6">
        <f>IF(G439="","",IFERROR(VLOOKUP(G439,MOT,2,FALSE),"código inválido"))</f>
        <v/>
      </c>
      <c r="P439" s="12">
        <f>IF(ISNUMBER(J439),COUNT(J$6:J439),"")</f>
        <v/>
      </c>
    </row>
    <row r="440">
      <c r="A440" s="13" t="n"/>
      <c r="B440" s="10" t="n"/>
      <c r="C440" s="10" t="n"/>
      <c r="D440" s="14" t="n"/>
      <c r="E440" s="14" t="n"/>
      <c r="F440" s="15">
        <f>IF(AND(ISNUMBER(D440),ISNUMBER(E440)),ROUND(IF(E440&lt;D440,E440+1-D440,E440-D440)*1440,2),IF(ISNUMBER(N440),N440,""))</f>
        <v/>
      </c>
      <c r="G440" s="10" t="n"/>
      <c r="H440" s="6">
        <f>IF(G440="","",IFERROR(VLOOKUP(G440,MOT,3,FALSE),"código inválido"))</f>
        <v/>
      </c>
      <c r="I440" s="10" t="n"/>
      <c r="J440" s="16" t="n"/>
      <c r="K440" s="16" t="n"/>
      <c r="L440" s="16" t="n"/>
      <c r="M440" s="16" t="n"/>
      <c r="N440" s="10" t="n"/>
      <c r="O440" s="6">
        <f>IF(G440="","",IFERROR(VLOOKUP(G440,MOT,2,FALSE),"código inválido"))</f>
        <v/>
      </c>
      <c r="P440" s="12">
        <f>IF(ISNUMBER(J440),COUNT(J$6:J440),"")</f>
        <v/>
      </c>
    </row>
    <row r="441">
      <c r="A441" s="13" t="n"/>
      <c r="B441" s="10" t="n"/>
      <c r="C441" s="10" t="n"/>
      <c r="D441" s="14" t="n"/>
      <c r="E441" s="14" t="n"/>
      <c r="F441" s="15">
        <f>IF(AND(ISNUMBER(D441),ISNUMBER(E441)),ROUND(IF(E441&lt;D441,E441+1-D441,E441-D441)*1440,2),IF(ISNUMBER(N441),N441,""))</f>
        <v/>
      </c>
      <c r="G441" s="10" t="n"/>
      <c r="H441" s="6">
        <f>IF(G441="","",IFERROR(VLOOKUP(G441,MOT,3,FALSE),"código inválido"))</f>
        <v/>
      </c>
      <c r="I441" s="10" t="n"/>
      <c r="J441" s="16" t="n"/>
      <c r="K441" s="16" t="n"/>
      <c r="L441" s="16" t="n"/>
      <c r="M441" s="16" t="n"/>
      <c r="N441" s="10" t="n"/>
      <c r="O441" s="6">
        <f>IF(G441="","",IFERROR(VLOOKUP(G441,MOT,2,FALSE),"código inválido"))</f>
        <v/>
      </c>
      <c r="P441" s="12">
        <f>IF(ISNUMBER(J441),COUNT(J$6:J441),"")</f>
        <v/>
      </c>
    </row>
    <row r="442">
      <c r="A442" s="13" t="n"/>
      <c r="B442" s="10" t="n"/>
      <c r="C442" s="10" t="n"/>
      <c r="D442" s="14" t="n"/>
      <c r="E442" s="14" t="n"/>
      <c r="F442" s="15">
        <f>IF(AND(ISNUMBER(D442),ISNUMBER(E442)),ROUND(IF(E442&lt;D442,E442+1-D442,E442-D442)*1440,2),IF(ISNUMBER(N442),N442,""))</f>
        <v/>
      </c>
      <c r="G442" s="10" t="n"/>
      <c r="H442" s="6">
        <f>IF(G442="","",IFERROR(VLOOKUP(G442,MOT,3,FALSE),"código inválido"))</f>
        <v/>
      </c>
      <c r="I442" s="10" t="n"/>
      <c r="J442" s="16" t="n"/>
      <c r="K442" s="16" t="n"/>
      <c r="L442" s="16" t="n"/>
      <c r="M442" s="16" t="n"/>
      <c r="N442" s="10" t="n"/>
      <c r="O442" s="6">
        <f>IF(G442="","",IFERROR(VLOOKUP(G442,MOT,2,FALSE),"código inválido"))</f>
        <v/>
      </c>
      <c r="P442" s="12">
        <f>IF(ISNUMBER(J442),COUNT(J$6:J442),"")</f>
        <v/>
      </c>
    </row>
    <row r="443">
      <c r="A443" s="13" t="n"/>
      <c r="B443" s="10" t="n"/>
      <c r="C443" s="10" t="n"/>
      <c r="D443" s="14" t="n"/>
      <c r="E443" s="14" t="n"/>
      <c r="F443" s="15">
        <f>IF(AND(ISNUMBER(D443),ISNUMBER(E443)),ROUND(IF(E443&lt;D443,E443+1-D443,E443-D443)*1440,2),IF(ISNUMBER(N443),N443,""))</f>
        <v/>
      </c>
      <c r="G443" s="10" t="n"/>
      <c r="H443" s="6">
        <f>IF(G443="","",IFERROR(VLOOKUP(G443,MOT,3,FALSE),"código inválido"))</f>
        <v/>
      </c>
      <c r="I443" s="10" t="n"/>
      <c r="J443" s="16" t="n"/>
      <c r="K443" s="16" t="n"/>
      <c r="L443" s="16" t="n"/>
      <c r="M443" s="16" t="n"/>
      <c r="N443" s="10" t="n"/>
      <c r="O443" s="6">
        <f>IF(G443="","",IFERROR(VLOOKUP(G443,MOT,2,FALSE),"código inválido"))</f>
        <v/>
      </c>
      <c r="P443" s="12">
        <f>IF(ISNUMBER(J443),COUNT(J$6:J443),"")</f>
        <v/>
      </c>
    </row>
    <row r="444">
      <c r="A444" s="13" t="n"/>
      <c r="B444" s="10" t="n"/>
      <c r="C444" s="10" t="n"/>
      <c r="D444" s="14" t="n"/>
      <c r="E444" s="14" t="n"/>
      <c r="F444" s="15">
        <f>IF(AND(ISNUMBER(D444),ISNUMBER(E444)),ROUND(IF(E444&lt;D444,E444+1-D444,E444-D444)*1440,2),IF(ISNUMBER(N444),N444,""))</f>
        <v/>
      </c>
      <c r="G444" s="10" t="n"/>
      <c r="H444" s="6">
        <f>IF(G444="","",IFERROR(VLOOKUP(G444,MOT,3,FALSE),"código inválido"))</f>
        <v/>
      </c>
      <c r="I444" s="10" t="n"/>
      <c r="J444" s="16" t="n"/>
      <c r="K444" s="16" t="n"/>
      <c r="L444" s="16" t="n"/>
      <c r="M444" s="16" t="n"/>
      <c r="N444" s="10" t="n"/>
      <c r="O444" s="6">
        <f>IF(G444="","",IFERROR(VLOOKUP(G444,MOT,2,FALSE),"código inválido"))</f>
        <v/>
      </c>
      <c r="P444" s="12">
        <f>IF(ISNUMBER(J444),COUNT(J$6:J444),"")</f>
        <v/>
      </c>
    </row>
    <row r="445">
      <c r="A445" s="13" t="n"/>
      <c r="B445" s="10" t="n"/>
      <c r="C445" s="10" t="n"/>
      <c r="D445" s="14" t="n"/>
      <c r="E445" s="14" t="n"/>
      <c r="F445" s="15">
        <f>IF(AND(ISNUMBER(D445),ISNUMBER(E445)),ROUND(IF(E445&lt;D445,E445+1-D445,E445-D445)*1440,2),IF(ISNUMBER(N445),N445,""))</f>
        <v/>
      </c>
      <c r="G445" s="10" t="n"/>
      <c r="H445" s="6">
        <f>IF(G445="","",IFERROR(VLOOKUP(G445,MOT,3,FALSE),"código inválido"))</f>
        <v/>
      </c>
      <c r="I445" s="10" t="n"/>
      <c r="J445" s="16" t="n"/>
      <c r="K445" s="16" t="n"/>
      <c r="L445" s="16" t="n"/>
      <c r="M445" s="16" t="n"/>
      <c r="N445" s="10" t="n"/>
      <c r="O445" s="6">
        <f>IF(G445="","",IFERROR(VLOOKUP(G445,MOT,2,FALSE),"código inválido"))</f>
        <v/>
      </c>
      <c r="P445" s="12">
        <f>IF(ISNUMBER(J445),COUNT(J$6:J445),"")</f>
        <v/>
      </c>
    </row>
    <row r="446">
      <c r="A446" s="13" t="n"/>
      <c r="B446" s="10" t="n"/>
      <c r="C446" s="10" t="n"/>
      <c r="D446" s="14" t="n"/>
      <c r="E446" s="14" t="n"/>
      <c r="F446" s="15">
        <f>IF(AND(ISNUMBER(D446),ISNUMBER(E446)),ROUND(IF(E446&lt;D446,E446+1-D446,E446-D446)*1440,2),IF(ISNUMBER(N446),N446,""))</f>
        <v/>
      </c>
      <c r="G446" s="10" t="n"/>
      <c r="H446" s="6">
        <f>IF(G446="","",IFERROR(VLOOKUP(G446,MOT,3,FALSE),"código inválido"))</f>
        <v/>
      </c>
      <c r="I446" s="10" t="n"/>
      <c r="J446" s="16" t="n"/>
      <c r="K446" s="16" t="n"/>
      <c r="L446" s="16" t="n"/>
      <c r="M446" s="16" t="n"/>
      <c r="N446" s="10" t="n"/>
      <c r="O446" s="6">
        <f>IF(G446="","",IFERROR(VLOOKUP(G446,MOT,2,FALSE),"código inválido"))</f>
        <v/>
      </c>
      <c r="P446" s="12">
        <f>IF(ISNUMBER(J446),COUNT(J$6:J446),"")</f>
        <v/>
      </c>
    </row>
    <row r="447">
      <c r="A447" s="13" t="n"/>
      <c r="B447" s="10" t="n"/>
      <c r="C447" s="10" t="n"/>
      <c r="D447" s="14" t="n"/>
      <c r="E447" s="14" t="n"/>
      <c r="F447" s="15">
        <f>IF(AND(ISNUMBER(D447),ISNUMBER(E447)),ROUND(IF(E447&lt;D447,E447+1-D447,E447-D447)*1440,2),IF(ISNUMBER(N447),N447,""))</f>
        <v/>
      </c>
      <c r="G447" s="10" t="n"/>
      <c r="H447" s="6">
        <f>IF(G447="","",IFERROR(VLOOKUP(G447,MOT,3,FALSE),"código inválido"))</f>
        <v/>
      </c>
      <c r="I447" s="10" t="n"/>
      <c r="J447" s="16" t="n"/>
      <c r="K447" s="16" t="n"/>
      <c r="L447" s="16" t="n"/>
      <c r="M447" s="16" t="n"/>
      <c r="N447" s="10" t="n"/>
      <c r="O447" s="6">
        <f>IF(G447="","",IFERROR(VLOOKUP(G447,MOT,2,FALSE),"código inválido"))</f>
        <v/>
      </c>
      <c r="P447" s="12">
        <f>IF(ISNUMBER(J447),COUNT(J$6:J447),"")</f>
        <v/>
      </c>
    </row>
    <row r="448">
      <c r="A448" s="13" t="n"/>
      <c r="B448" s="10" t="n"/>
      <c r="C448" s="10" t="n"/>
      <c r="D448" s="14" t="n"/>
      <c r="E448" s="14" t="n"/>
      <c r="F448" s="15">
        <f>IF(AND(ISNUMBER(D448),ISNUMBER(E448)),ROUND(IF(E448&lt;D448,E448+1-D448,E448-D448)*1440,2),IF(ISNUMBER(N448),N448,""))</f>
        <v/>
      </c>
      <c r="G448" s="10" t="n"/>
      <c r="H448" s="6">
        <f>IF(G448="","",IFERROR(VLOOKUP(G448,MOT,3,FALSE),"código inválido"))</f>
        <v/>
      </c>
      <c r="I448" s="10" t="n"/>
      <c r="J448" s="16" t="n"/>
      <c r="K448" s="16" t="n"/>
      <c r="L448" s="16" t="n"/>
      <c r="M448" s="16" t="n"/>
      <c r="N448" s="10" t="n"/>
      <c r="O448" s="6">
        <f>IF(G448="","",IFERROR(VLOOKUP(G448,MOT,2,FALSE),"código inválido"))</f>
        <v/>
      </c>
      <c r="P448" s="12">
        <f>IF(ISNUMBER(J448),COUNT(J$6:J448),"")</f>
        <v/>
      </c>
    </row>
    <row r="449">
      <c r="A449" s="13" t="n"/>
      <c r="B449" s="10" t="n"/>
      <c r="C449" s="10" t="n"/>
      <c r="D449" s="14" t="n"/>
      <c r="E449" s="14" t="n"/>
      <c r="F449" s="15">
        <f>IF(AND(ISNUMBER(D449),ISNUMBER(E449)),ROUND(IF(E449&lt;D449,E449+1-D449,E449-D449)*1440,2),IF(ISNUMBER(N449),N449,""))</f>
        <v/>
      </c>
      <c r="G449" s="10" t="n"/>
      <c r="H449" s="6">
        <f>IF(G449="","",IFERROR(VLOOKUP(G449,MOT,3,FALSE),"código inválido"))</f>
        <v/>
      </c>
      <c r="I449" s="10" t="n"/>
      <c r="J449" s="16" t="n"/>
      <c r="K449" s="16" t="n"/>
      <c r="L449" s="16" t="n"/>
      <c r="M449" s="16" t="n"/>
      <c r="N449" s="10" t="n"/>
      <c r="O449" s="6">
        <f>IF(G449="","",IFERROR(VLOOKUP(G449,MOT,2,FALSE),"código inválido"))</f>
        <v/>
      </c>
      <c r="P449" s="12">
        <f>IF(ISNUMBER(J449),COUNT(J$6:J449),"")</f>
        <v/>
      </c>
    </row>
    <row r="450">
      <c r="A450" s="13" t="n"/>
      <c r="B450" s="10" t="n"/>
      <c r="C450" s="10" t="n"/>
      <c r="D450" s="14" t="n"/>
      <c r="E450" s="14" t="n"/>
      <c r="F450" s="15">
        <f>IF(AND(ISNUMBER(D450),ISNUMBER(E450)),ROUND(IF(E450&lt;D450,E450+1-D450,E450-D450)*1440,2),IF(ISNUMBER(N450),N450,""))</f>
        <v/>
      </c>
      <c r="G450" s="10" t="n"/>
      <c r="H450" s="6">
        <f>IF(G450="","",IFERROR(VLOOKUP(G450,MOT,3,FALSE),"código inválido"))</f>
        <v/>
      </c>
      <c r="I450" s="10" t="n"/>
      <c r="J450" s="16" t="n"/>
      <c r="K450" s="16" t="n"/>
      <c r="L450" s="16" t="n"/>
      <c r="M450" s="16" t="n"/>
      <c r="N450" s="10" t="n"/>
      <c r="O450" s="6">
        <f>IF(G450="","",IFERROR(VLOOKUP(G450,MOT,2,FALSE),"código inválido"))</f>
        <v/>
      </c>
      <c r="P450" s="12">
        <f>IF(ISNUMBER(J450),COUNT(J$6:J450),"")</f>
        <v/>
      </c>
    </row>
    <row r="451">
      <c r="A451" s="13" t="n"/>
      <c r="B451" s="10" t="n"/>
      <c r="C451" s="10" t="n"/>
      <c r="D451" s="14" t="n"/>
      <c r="E451" s="14" t="n"/>
      <c r="F451" s="15">
        <f>IF(AND(ISNUMBER(D451),ISNUMBER(E451)),ROUND(IF(E451&lt;D451,E451+1-D451,E451-D451)*1440,2),IF(ISNUMBER(N451),N451,""))</f>
        <v/>
      </c>
      <c r="G451" s="10" t="n"/>
      <c r="H451" s="6">
        <f>IF(G451="","",IFERROR(VLOOKUP(G451,MOT,3,FALSE),"código inválido"))</f>
        <v/>
      </c>
      <c r="I451" s="10" t="n"/>
      <c r="J451" s="16" t="n"/>
      <c r="K451" s="16" t="n"/>
      <c r="L451" s="16" t="n"/>
      <c r="M451" s="16" t="n"/>
      <c r="N451" s="10" t="n"/>
      <c r="O451" s="6">
        <f>IF(G451="","",IFERROR(VLOOKUP(G451,MOT,2,FALSE),"código inválido"))</f>
        <v/>
      </c>
      <c r="P451" s="12">
        <f>IF(ISNUMBER(J451),COUNT(J$6:J451),"")</f>
        <v/>
      </c>
    </row>
    <row r="452">
      <c r="A452" s="13" t="n"/>
      <c r="B452" s="10" t="n"/>
      <c r="C452" s="10" t="n"/>
      <c r="D452" s="14" t="n"/>
      <c r="E452" s="14" t="n"/>
      <c r="F452" s="15">
        <f>IF(AND(ISNUMBER(D452),ISNUMBER(E452)),ROUND(IF(E452&lt;D452,E452+1-D452,E452-D452)*1440,2),IF(ISNUMBER(N452),N452,""))</f>
        <v/>
      </c>
      <c r="G452" s="10" t="n"/>
      <c r="H452" s="6">
        <f>IF(G452="","",IFERROR(VLOOKUP(G452,MOT,3,FALSE),"código inválido"))</f>
        <v/>
      </c>
      <c r="I452" s="10" t="n"/>
      <c r="J452" s="16" t="n"/>
      <c r="K452" s="16" t="n"/>
      <c r="L452" s="16" t="n"/>
      <c r="M452" s="16" t="n"/>
      <c r="N452" s="10" t="n"/>
      <c r="O452" s="6">
        <f>IF(G452="","",IFERROR(VLOOKUP(G452,MOT,2,FALSE),"código inválido"))</f>
        <v/>
      </c>
      <c r="P452" s="12">
        <f>IF(ISNUMBER(J452),COUNT(J$6:J452),"")</f>
        <v/>
      </c>
    </row>
    <row r="453">
      <c r="A453" s="13" t="n"/>
      <c r="B453" s="10" t="n"/>
      <c r="C453" s="10" t="n"/>
      <c r="D453" s="14" t="n"/>
      <c r="E453" s="14" t="n"/>
      <c r="F453" s="15">
        <f>IF(AND(ISNUMBER(D453),ISNUMBER(E453)),ROUND(IF(E453&lt;D453,E453+1-D453,E453-D453)*1440,2),IF(ISNUMBER(N453),N453,""))</f>
        <v/>
      </c>
      <c r="G453" s="10" t="n"/>
      <c r="H453" s="6">
        <f>IF(G453="","",IFERROR(VLOOKUP(G453,MOT,3,FALSE),"código inválido"))</f>
        <v/>
      </c>
      <c r="I453" s="10" t="n"/>
      <c r="J453" s="16" t="n"/>
      <c r="K453" s="16" t="n"/>
      <c r="L453" s="16" t="n"/>
      <c r="M453" s="16" t="n"/>
      <c r="N453" s="10" t="n"/>
      <c r="O453" s="6">
        <f>IF(G453="","",IFERROR(VLOOKUP(G453,MOT,2,FALSE),"código inválido"))</f>
        <v/>
      </c>
      <c r="P453" s="12">
        <f>IF(ISNUMBER(J453),COUNT(J$6:J453),"")</f>
        <v/>
      </c>
    </row>
    <row r="454">
      <c r="A454" s="13" t="n"/>
      <c r="B454" s="10" t="n"/>
      <c r="C454" s="10" t="n"/>
      <c r="D454" s="14" t="n"/>
      <c r="E454" s="14" t="n"/>
      <c r="F454" s="15">
        <f>IF(AND(ISNUMBER(D454),ISNUMBER(E454)),ROUND(IF(E454&lt;D454,E454+1-D454,E454-D454)*1440,2),IF(ISNUMBER(N454),N454,""))</f>
        <v/>
      </c>
      <c r="G454" s="10" t="n"/>
      <c r="H454" s="6">
        <f>IF(G454="","",IFERROR(VLOOKUP(G454,MOT,3,FALSE),"código inválido"))</f>
        <v/>
      </c>
      <c r="I454" s="10" t="n"/>
      <c r="J454" s="16" t="n"/>
      <c r="K454" s="16" t="n"/>
      <c r="L454" s="16" t="n"/>
      <c r="M454" s="16" t="n"/>
      <c r="N454" s="10" t="n"/>
      <c r="O454" s="6">
        <f>IF(G454="","",IFERROR(VLOOKUP(G454,MOT,2,FALSE),"código inválido"))</f>
        <v/>
      </c>
      <c r="P454" s="12">
        <f>IF(ISNUMBER(J454),COUNT(J$6:J454),"")</f>
        <v/>
      </c>
    </row>
    <row r="455">
      <c r="A455" s="13" t="n"/>
      <c r="B455" s="10" t="n"/>
      <c r="C455" s="10" t="n"/>
      <c r="D455" s="14" t="n"/>
      <c r="E455" s="14" t="n"/>
      <c r="F455" s="15">
        <f>IF(AND(ISNUMBER(D455),ISNUMBER(E455)),ROUND(IF(E455&lt;D455,E455+1-D455,E455-D455)*1440,2),IF(ISNUMBER(N455),N455,""))</f>
        <v/>
      </c>
      <c r="G455" s="10" t="n"/>
      <c r="H455" s="6">
        <f>IF(G455="","",IFERROR(VLOOKUP(G455,MOT,3,FALSE),"código inválido"))</f>
        <v/>
      </c>
      <c r="I455" s="10" t="n"/>
      <c r="J455" s="16" t="n"/>
      <c r="K455" s="16" t="n"/>
      <c r="L455" s="16" t="n"/>
      <c r="M455" s="16" t="n"/>
      <c r="N455" s="10" t="n"/>
      <c r="O455" s="6">
        <f>IF(G455="","",IFERROR(VLOOKUP(G455,MOT,2,FALSE),"código inválido"))</f>
        <v/>
      </c>
      <c r="P455" s="12">
        <f>IF(ISNUMBER(J455),COUNT(J$6:J455),"")</f>
        <v/>
      </c>
    </row>
    <row r="456">
      <c r="A456" s="13" t="n"/>
      <c r="B456" s="10" t="n"/>
      <c r="C456" s="10" t="n"/>
      <c r="D456" s="14" t="n"/>
      <c r="E456" s="14" t="n"/>
      <c r="F456" s="15">
        <f>IF(AND(ISNUMBER(D456),ISNUMBER(E456)),ROUND(IF(E456&lt;D456,E456+1-D456,E456-D456)*1440,2),IF(ISNUMBER(N456),N456,""))</f>
        <v/>
      </c>
      <c r="G456" s="10" t="n"/>
      <c r="H456" s="6">
        <f>IF(G456="","",IFERROR(VLOOKUP(G456,MOT,3,FALSE),"código inválido"))</f>
        <v/>
      </c>
      <c r="I456" s="10" t="n"/>
      <c r="J456" s="16" t="n"/>
      <c r="K456" s="16" t="n"/>
      <c r="L456" s="16" t="n"/>
      <c r="M456" s="16" t="n"/>
      <c r="N456" s="10" t="n"/>
      <c r="O456" s="6">
        <f>IF(G456="","",IFERROR(VLOOKUP(G456,MOT,2,FALSE),"código inválido"))</f>
        <v/>
      </c>
      <c r="P456" s="12">
        <f>IF(ISNUMBER(J456),COUNT(J$6:J456),"")</f>
        <v/>
      </c>
    </row>
    <row r="457">
      <c r="A457" s="13" t="n"/>
      <c r="B457" s="10" t="n"/>
      <c r="C457" s="10" t="n"/>
      <c r="D457" s="14" t="n"/>
      <c r="E457" s="14" t="n"/>
      <c r="F457" s="15">
        <f>IF(AND(ISNUMBER(D457),ISNUMBER(E457)),ROUND(IF(E457&lt;D457,E457+1-D457,E457-D457)*1440,2),IF(ISNUMBER(N457),N457,""))</f>
        <v/>
      </c>
      <c r="G457" s="10" t="n"/>
      <c r="H457" s="6">
        <f>IF(G457="","",IFERROR(VLOOKUP(G457,MOT,3,FALSE),"código inválido"))</f>
        <v/>
      </c>
      <c r="I457" s="10" t="n"/>
      <c r="J457" s="16" t="n"/>
      <c r="K457" s="16" t="n"/>
      <c r="L457" s="16" t="n"/>
      <c r="M457" s="16" t="n"/>
      <c r="N457" s="10" t="n"/>
      <c r="O457" s="6">
        <f>IF(G457="","",IFERROR(VLOOKUP(G457,MOT,2,FALSE),"código inválido"))</f>
        <v/>
      </c>
      <c r="P457" s="12">
        <f>IF(ISNUMBER(J457),COUNT(J$6:J457),"")</f>
        <v/>
      </c>
    </row>
    <row r="458">
      <c r="A458" s="13" t="n"/>
      <c r="B458" s="10" t="n"/>
      <c r="C458" s="10" t="n"/>
      <c r="D458" s="14" t="n"/>
      <c r="E458" s="14" t="n"/>
      <c r="F458" s="15">
        <f>IF(AND(ISNUMBER(D458),ISNUMBER(E458)),ROUND(IF(E458&lt;D458,E458+1-D458,E458-D458)*1440,2),IF(ISNUMBER(N458),N458,""))</f>
        <v/>
      </c>
      <c r="G458" s="10" t="n"/>
      <c r="H458" s="6">
        <f>IF(G458="","",IFERROR(VLOOKUP(G458,MOT,3,FALSE),"código inválido"))</f>
        <v/>
      </c>
      <c r="I458" s="10" t="n"/>
      <c r="J458" s="16" t="n"/>
      <c r="K458" s="16" t="n"/>
      <c r="L458" s="16" t="n"/>
      <c r="M458" s="16" t="n"/>
      <c r="N458" s="10" t="n"/>
      <c r="O458" s="6">
        <f>IF(G458="","",IFERROR(VLOOKUP(G458,MOT,2,FALSE),"código inválido"))</f>
        <v/>
      </c>
      <c r="P458" s="12">
        <f>IF(ISNUMBER(J458),COUNT(J$6:J458),"")</f>
        <v/>
      </c>
    </row>
    <row r="459">
      <c r="A459" s="13" t="n"/>
      <c r="B459" s="10" t="n"/>
      <c r="C459" s="10" t="n"/>
      <c r="D459" s="14" t="n"/>
      <c r="E459" s="14" t="n"/>
      <c r="F459" s="15">
        <f>IF(AND(ISNUMBER(D459),ISNUMBER(E459)),ROUND(IF(E459&lt;D459,E459+1-D459,E459-D459)*1440,2),IF(ISNUMBER(N459),N459,""))</f>
        <v/>
      </c>
      <c r="G459" s="10" t="n"/>
      <c r="H459" s="6">
        <f>IF(G459="","",IFERROR(VLOOKUP(G459,MOT,3,FALSE),"código inválido"))</f>
        <v/>
      </c>
      <c r="I459" s="10" t="n"/>
      <c r="J459" s="16" t="n"/>
      <c r="K459" s="16" t="n"/>
      <c r="L459" s="16" t="n"/>
      <c r="M459" s="16" t="n"/>
      <c r="N459" s="10" t="n"/>
      <c r="O459" s="6">
        <f>IF(G459="","",IFERROR(VLOOKUP(G459,MOT,2,FALSE),"código inválido"))</f>
        <v/>
      </c>
      <c r="P459" s="12">
        <f>IF(ISNUMBER(J459),COUNT(J$6:J459),"")</f>
        <v/>
      </c>
    </row>
    <row r="460">
      <c r="A460" s="13" t="n"/>
      <c r="B460" s="10" t="n"/>
      <c r="C460" s="10" t="n"/>
      <c r="D460" s="14" t="n"/>
      <c r="E460" s="14" t="n"/>
      <c r="F460" s="15">
        <f>IF(AND(ISNUMBER(D460),ISNUMBER(E460)),ROUND(IF(E460&lt;D460,E460+1-D460,E460-D460)*1440,2),IF(ISNUMBER(N460),N460,""))</f>
        <v/>
      </c>
      <c r="G460" s="10" t="n"/>
      <c r="H460" s="6">
        <f>IF(G460="","",IFERROR(VLOOKUP(G460,MOT,3,FALSE),"código inválido"))</f>
        <v/>
      </c>
      <c r="I460" s="10" t="n"/>
      <c r="J460" s="16" t="n"/>
      <c r="K460" s="16" t="n"/>
      <c r="L460" s="16" t="n"/>
      <c r="M460" s="16" t="n"/>
      <c r="N460" s="10" t="n"/>
      <c r="O460" s="6">
        <f>IF(G460="","",IFERROR(VLOOKUP(G460,MOT,2,FALSE),"código inválido"))</f>
        <v/>
      </c>
      <c r="P460" s="12">
        <f>IF(ISNUMBER(J460),COUNT(J$6:J460),"")</f>
        <v/>
      </c>
    </row>
    <row r="461">
      <c r="A461" s="13" t="n"/>
      <c r="B461" s="10" t="n"/>
      <c r="C461" s="10" t="n"/>
      <c r="D461" s="14" t="n"/>
      <c r="E461" s="14" t="n"/>
      <c r="F461" s="15">
        <f>IF(AND(ISNUMBER(D461),ISNUMBER(E461)),ROUND(IF(E461&lt;D461,E461+1-D461,E461-D461)*1440,2),IF(ISNUMBER(N461),N461,""))</f>
        <v/>
      </c>
      <c r="G461" s="10" t="n"/>
      <c r="H461" s="6">
        <f>IF(G461="","",IFERROR(VLOOKUP(G461,MOT,3,FALSE),"código inválido"))</f>
        <v/>
      </c>
      <c r="I461" s="10" t="n"/>
      <c r="J461" s="16" t="n"/>
      <c r="K461" s="16" t="n"/>
      <c r="L461" s="16" t="n"/>
      <c r="M461" s="16" t="n"/>
      <c r="N461" s="10" t="n"/>
      <c r="O461" s="6">
        <f>IF(G461="","",IFERROR(VLOOKUP(G461,MOT,2,FALSE),"código inválido"))</f>
        <v/>
      </c>
      <c r="P461" s="12">
        <f>IF(ISNUMBER(J461),COUNT(J$6:J461),"")</f>
        <v/>
      </c>
    </row>
    <row r="462">
      <c r="A462" s="13" t="n"/>
      <c r="B462" s="10" t="n"/>
      <c r="C462" s="10" t="n"/>
      <c r="D462" s="14" t="n"/>
      <c r="E462" s="14" t="n"/>
      <c r="F462" s="15">
        <f>IF(AND(ISNUMBER(D462),ISNUMBER(E462)),ROUND(IF(E462&lt;D462,E462+1-D462,E462-D462)*1440,2),IF(ISNUMBER(N462),N462,""))</f>
        <v/>
      </c>
      <c r="G462" s="10" t="n"/>
      <c r="H462" s="6">
        <f>IF(G462="","",IFERROR(VLOOKUP(G462,MOT,3,FALSE),"código inválido"))</f>
        <v/>
      </c>
      <c r="I462" s="10" t="n"/>
      <c r="J462" s="16" t="n"/>
      <c r="K462" s="16" t="n"/>
      <c r="L462" s="16" t="n"/>
      <c r="M462" s="16" t="n"/>
      <c r="N462" s="10" t="n"/>
      <c r="O462" s="6">
        <f>IF(G462="","",IFERROR(VLOOKUP(G462,MOT,2,FALSE),"código inválido"))</f>
        <v/>
      </c>
      <c r="P462" s="12">
        <f>IF(ISNUMBER(J462),COUNT(J$6:J462),"")</f>
        <v/>
      </c>
    </row>
    <row r="463">
      <c r="A463" s="13" t="n"/>
      <c r="B463" s="10" t="n"/>
      <c r="C463" s="10" t="n"/>
      <c r="D463" s="14" t="n"/>
      <c r="E463" s="14" t="n"/>
      <c r="F463" s="15">
        <f>IF(AND(ISNUMBER(D463),ISNUMBER(E463)),ROUND(IF(E463&lt;D463,E463+1-D463,E463-D463)*1440,2),IF(ISNUMBER(N463),N463,""))</f>
        <v/>
      </c>
      <c r="G463" s="10" t="n"/>
      <c r="H463" s="6">
        <f>IF(G463="","",IFERROR(VLOOKUP(G463,MOT,3,FALSE),"código inválido"))</f>
        <v/>
      </c>
      <c r="I463" s="10" t="n"/>
      <c r="J463" s="16" t="n"/>
      <c r="K463" s="16" t="n"/>
      <c r="L463" s="16" t="n"/>
      <c r="M463" s="16" t="n"/>
      <c r="N463" s="10" t="n"/>
      <c r="O463" s="6">
        <f>IF(G463="","",IFERROR(VLOOKUP(G463,MOT,2,FALSE),"código inválido"))</f>
        <v/>
      </c>
      <c r="P463" s="12">
        <f>IF(ISNUMBER(J463),COUNT(J$6:J463),"")</f>
        <v/>
      </c>
    </row>
    <row r="464">
      <c r="A464" s="13" t="n"/>
      <c r="B464" s="10" t="n"/>
      <c r="C464" s="10" t="n"/>
      <c r="D464" s="14" t="n"/>
      <c r="E464" s="14" t="n"/>
      <c r="F464" s="15">
        <f>IF(AND(ISNUMBER(D464),ISNUMBER(E464)),ROUND(IF(E464&lt;D464,E464+1-D464,E464-D464)*1440,2),IF(ISNUMBER(N464),N464,""))</f>
        <v/>
      </c>
      <c r="G464" s="10" t="n"/>
      <c r="H464" s="6">
        <f>IF(G464="","",IFERROR(VLOOKUP(G464,MOT,3,FALSE),"código inválido"))</f>
        <v/>
      </c>
      <c r="I464" s="10" t="n"/>
      <c r="J464" s="16" t="n"/>
      <c r="K464" s="16" t="n"/>
      <c r="L464" s="16" t="n"/>
      <c r="M464" s="16" t="n"/>
      <c r="N464" s="10" t="n"/>
      <c r="O464" s="6">
        <f>IF(G464="","",IFERROR(VLOOKUP(G464,MOT,2,FALSE),"código inválido"))</f>
        <v/>
      </c>
      <c r="P464" s="12">
        <f>IF(ISNUMBER(J464),COUNT(J$6:J464),"")</f>
        <v/>
      </c>
    </row>
    <row r="465">
      <c r="A465" s="13" t="n"/>
      <c r="B465" s="10" t="n"/>
      <c r="C465" s="10" t="n"/>
      <c r="D465" s="14" t="n"/>
      <c r="E465" s="14" t="n"/>
      <c r="F465" s="15">
        <f>IF(AND(ISNUMBER(D465),ISNUMBER(E465)),ROUND(IF(E465&lt;D465,E465+1-D465,E465-D465)*1440,2),IF(ISNUMBER(N465),N465,""))</f>
        <v/>
      </c>
      <c r="G465" s="10" t="n"/>
      <c r="H465" s="6">
        <f>IF(G465="","",IFERROR(VLOOKUP(G465,MOT,3,FALSE),"código inválido"))</f>
        <v/>
      </c>
      <c r="I465" s="10" t="n"/>
      <c r="J465" s="16" t="n"/>
      <c r="K465" s="16" t="n"/>
      <c r="L465" s="16" t="n"/>
      <c r="M465" s="16" t="n"/>
      <c r="N465" s="10" t="n"/>
      <c r="O465" s="6">
        <f>IF(G465="","",IFERROR(VLOOKUP(G465,MOT,2,FALSE),"código inválido"))</f>
        <v/>
      </c>
      <c r="P465" s="12">
        <f>IF(ISNUMBER(J465),COUNT(J$6:J465),"")</f>
        <v/>
      </c>
    </row>
    <row r="466">
      <c r="A466" s="13" t="n"/>
      <c r="B466" s="10" t="n"/>
      <c r="C466" s="10" t="n"/>
      <c r="D466" s="14" t="n"/>
      <c r="E466" s="14" t="n"/>
      <c r="F466" s="15">
        <f>IF(AND(ISNUMBER(D466),ISNUMBER(E466)),ROUND(IF(E466&lt;D466,E466+1-D466,E466-D466)*1440,2),IF(ISNUMBER(N466),N466,""))</f>
        <v/>
      </c>
      <c r="G466" s="10" t="n"/>
      <c r="H466" s="6">
        <f>IF(G466="","",IFERROR(VLOOKUP(G466,MOT,3,FALSE),"código inválido"))</f>
        <v/>
      </c>
      <c r="I466" s="10" t="n"/>
      <c r="J466" s="16" t="n"/>
      <c r="K466" s="16" t="n"/>
      <c r="L466" s="16" t="n"/>
      <c r="M466" s="16" t="n"/>
      <c r="N466" s="10" t="n"/>
      <c r="O466" s="6">
        <f>IF(G466="","",IFERROR(VLOOKUP(G466,MOT,2,FALSE),"código inválido"))</f>
        <v/>
      </c>
      <c r="P466" s="12">
        <f>IF(ISNUMBER(J466),COUNT(J$6:J466),"")</f>
        <v/>
      </c>
    </row>
    <row r="467">
      <c r="A467" s="13" t="n"/>
      <c r="B467" s="10" t="n"/>
      <c r="C467" s="10" t="n"/>
      <c r="D467" s="14" t="n"/>
      <c r="E467" s="14" t="n"/>
      <c r="F467" s="15">
        <f>IF(AND(ISNUMBER(D467),ISNUMBER(E467)),ROUND(IF(E467&lt;D467,E467+1-D467,E467-D467)*1440,2),IF(ISNUMBER(N467),N467,""))</f>
        <v/>
      </c>
      <c r="G467" s="10" t="n"/>
      <c r="H467" s="6">
        <f>IF(G467="","",IFERROR(VLOOKUP(G467,MOT,3,FALSE),"código inválido"))</f>
        <v/>
      </c>
      <c r="I467" s="10" t="n"/>
      <c r="J467" s="16" t="n"/>
      <c r="K467" s="16" t="n"/>
      <c r="L467" s="16" t="n"/>
      <c r="M467" s="16" t="n"/>
      <c r="N467" s="10" t="n"/>
      <c r="O467" s="6">
        <f>IF(G467="","",IFERROR(VLOOKUP(G467,MOT,2,FALSE),"código inválido"))</f>
        <v/>
      </c>
      <c r="P467" s="12">
        <f>IF(ISNUMBER(J467),COUNT(J$6:J467),"")</f>
        <v/>
      </c>
    </row>
    <row r="468">
      <c r="A468" s="13" t="n"/>
      <c r="B468" s="10" t="n"/>
      <c r="C468" s="10" t="n"/>
      <c r="D468" s="14" t="n"/>
      <c r="E468" s="14" t="n"/>
      <c r="F468" s="15">
        <f>IF(AND(ISNUMBER(D468),ISNUMBER(E468)),ROUND(IF(E468&lt;D468,E468+1-D468,E468-D468)*1440,2),IF(ISNUMBER(N468),N468,""))</f>
        <v/>
      </c>
      <c r="G468" s="10" t="n"/>
      <c r="H468" s="6">
        <f>IF(G468="","",IFERROR(VLOOKUP(G468,MOT,3,FALSE),"código inválido"))</f>
        <v/>
      </c>
      <c r="I468" s="10" t="n"/>
      <c r="J468" s="16" t="n"/>
      <c r="K468" s="16" t="n"/>
      <c r="L468" s="16" t="n"/>
      <c r="M468" s="16" t="n"/>
      <c r="N468" s="10" t="n"/>
      <c r="O468" s="6">
        <f>IF(G468="","",IFERROR(VLOOKUP(G468,MOT,2,FALSE),"código inválido"))</f>
        <v/>
      </c>
      <c r="P468" s="12">
        <f>IF(ISNUMBER(J468),COUNT(J$6:J468),"")</f>
        <v/>
      </c>
    </row>
    <row r="469">
      <c r="A469" s="13" t="n"/>
      <c r="B469" s="10" t="n"/>
      <c r="C469" s="10" t="n"/>
      <c r="D469" s="14" t="n"/>
      <c r="E469" s="14" t="n"/>
      <c r="F469" s="15">
        <f>IF(AND(ISNUMBER(D469),ISNUMBER(E469)),ROUND(IF(E469&lt;D469,E469+1-D469,E469-D469)*1440,2),IF(ISNUMBER(N469),N469,""))</f>
        <v/>
      </c>
      <c r="G469" s="10" t="n"/>
      <c r="H469" s="6">
        <f>IF(G469="","",IFERROR(VLOOKUP(G469,MOT,3,FALSE),"código inválido"))</f>
        <v/>
      </c>
      <c r="I469" s="10" t="n"/>
      <c r="J469" s="16" t="n"/>
      <c r="K469" s="16" t="n"/>
      <c r="L469" s="16" t="n"/>
      <c r="M469" s="16" t="n"/>
      <c r="N469" s="10" t="n"/>
      <c r="O469" s="6">
        <f>IF(G469="","",IFERROR(VLOOKUP(G469,MOT,2,FALSE),"código inválido"))</f>
        <v/>
      </c>
      <c r="P469" s="12">
        <f>IF(ISNUMBER(J469),COUNT(J$6:J469),"")</f>
        <v/>
      </c>
    </row>
    <row r="470">
      <c r="A470" s="13" t="n"/>
      <c r="B470" s="10" t="n"/>
      <c r="C470" s="10" t="n"/>
      <c r="D470" s="14" t="n"/>
      <c r="E470" s="14" t="n"/>
      <c r="F470" s="15">
        <f>IF(AND(ISNUMBER(D470),ISNUMBER(E470)),ROUND(IF(E470&lt;D470,E470+1-D470,E470-D470)*1440,2),IF(ISNUMBER(N470),N470,""))</f>
        <v/>
      </c>
      <c r="G470" s="10" t="n"/>
      <c r="H470" s="6">
        <f>IF(G470="","",IFERROR(VLOOKUP(G470,MOT,3,FALSE),"código inválido"))</f>
        <v/>
      </c>
      <c r="I470" s="10" t="n"/>
      <c r="J470" s="16" t="n"/>
      <c r="K470" s="16" t="n"/>
      <c r="L470" s="16" t="n"/>
      <c r="M470" s="16" t="n"/>
      <c r="N470" s="10" t="n"/>
      <c r="O470" s="6">
        <f>IF(G470="","",IFERROR(VLOOKUP(G470,MOT,2,FALSE),"código inválido"))</f>
        <v/>
      </c>
      <c r="P470" s="12">
        <f>IF(ISNUMBER(J470),COUNT(J$6:J470),"")</f>
        <v/>
      </c>
    </row>
    <row r="471">
      <c r="A471" s="13" t="n"/>
      <c r="B471" s="10" t="n"/>
      <c r="C471" s="10" t="n"/>
      <c r="D471" s="14" t="n"/>
      <c r="E471" s="14" t="n"/>
      <c r="F471" s="15">
        <f>IF(AND(ISNUMBER(D471),ISNUMBER(E471)),ROUND(IF(E471&lt;D471,E471+1-D471,E471-D471)*1440,2),IF(ISNUMBER(N471),N471,""))</f>
        <v/>
      </c>
      <c r="G471" s="10" t="n"/>
      <c r="H471" s="6">
        <f>IF(G471="","",IFERROR(VLOOKUP(G471,MOT,3,FALSE),"código inválido"))</f>
        <v/>
      </c>
      <c r="I471" s="10" t="n"/>
      <c r="J471" s="16" t="n"/>
      <c r="K471" s="16" t="n"/>
      <c r="L471" s="16" t="n"/>
      <c r="M471" s="16" t="n"/>
      <c r="N471" s="10" t="n"/>
      <c r="O471" s="6">
        <f>IF(G471="","",IFERROR(VLOOKUP(G471,MOT,2,FALSE),"código inválido"))</f>
        <v/>
      </c>
      <c r="P471" s="12">
        <f>IF(ISNUMBER(J471),COUNT(J$6:J471),"")</f>
        <v/>
      </c>
    </row>
    <row r="472">
      <c r="A472" s="13" t="n"/>
      <c r="B472" s="10" t="n"/>
      <c r="C472" s="10" t="n"/>
      <c r="D472" s="14" t="n"/>
      <c r="E472" s="14" t="n"/>
      <c r="F472" s="15">
        <f>IF(AND(ISNUMBER(D472),ISNUMBER(E472)),ROUND(IF(E472&lt;D472,E472+1-D472,E472-D472)*1440,2),IF(ISNUMBER(N472),N472,""))</f>
        <v/>
      </c>
      <c r="G472" s="10" t="n"/>
      <c r="H472" s="6">
        <f>IF(G472="","",IFERROR(VLOOKUP(G472,MOT,3,FALSE),"código inválido"))</f>
        <v/>
      </c>
      <c r="I472" s="10" t="n"/>
      <c r="J472" s="16" t="n"/>
      <c r="K472" s="16" t="n"/>
      <c r="L472" s="16" t="n"/>
      <c r="M472" s="16" t="n"/>
      <c r="N472" s="10" t="n"/>
      <c r="O472" s="6">
        <f>IF(G472="","",IFERROR(VLOOKUP(G472,MOT,2,FALSE),"código inválido"))</f>
        <v/>
      </c>
      <c r="P472" s="12">
        <f>IF(ISNUMBER(J472),COUNT(J$6:J472),"")</f>
        <v/>
      </c>
    </row>
    <row r="473">
      <c r="A473" s="13" t="n"/>
      <c r="B473" s="10" t="n"/>
      <c r="C473" s="10" t="n"/>
      <c r="D473" s="14" t="n"/>
      <c r="E473" s="14" t="n"/>
      <c r="F473" s="15">
        <f>IF(AND(ISNUMBER(D473),ISNUMBER(E473)),ROUND(IF(E473&lt;D473,E473+1-D473,E473-D473)*1440,2),IF(ISNUMBER(N473),N473,""))</f>
        <v/>
      </c>
      <c r="G473" s="10" t="n"/>
      <c r="H473" s="6">
        <f>IF(G473="","",IFERROR(VLOOKUP(G473,MOT,3,FALSE),"código inválido"))</f>
        <v/>
      </c>
      <c r="I473" s="10" t="n"/>
      <c r="J473" s="16" t="n"/>
      <c r="K473" s="16" t="n"/>
      <c r="L473" s="16" t="n"/>
      <c r="M473" s="16" t="n"/>
      <c r="N473" s="10" t="n"/>
      <c r="O473" s="6">
        <f>IF(G473="","",IFERROR(VLOOKUP(G473,MOT,2,FALSE),"código inválido"))</f>
        <v/>
      </c>
      <c r="P473" s="12">
        <f>IF(ISNUMBER(J473),COUNT(J$6:J473),"")</f>
        <v/>
      </c>
    </row>
    <row r="474">
      <c r="A474" s="13" t="n"/>
      <c r="B474" s="10" t="n"/>
      <c r="C474" s="10" t="n"/>
      <c r="D474" s="14" t="n"/>
      <c r="E474" s="14" t="n"/>
      <c r="F474" s="15">
        <f>IF(AND(ISNUMBER(D474),ISNUMBER(E474)),ROUND(IF(E474&lt;D474,E474+1-D474,E474-D474)*1440,2),IF(ISNUMBER(N474),N474,""))</f>
        <v/>
      </c>
      <c r="G474" s="10" t="n"/>
      <c r="H474" s="6">
        <f>IF(G474="","",IFERROR(VLOOKUP(G474,MOT,3,FALSE),"código inválido"))</f>
        <v/>
      </c>
      <c r="I474" s="10" t="n"/>
      <c r="J474" s="16" t="n"/>
      <c r="K474" s="16" t="n"/>
      <c r="L474" s="16" t="n"/>
      <c r="M474" s="16" t="n"/>
      <c r="N474" s="10" t="n"/>
      <c r="O474" s="6">
        <f>IF(G474="","",IFERROR(VLOOKUP(G474,MOT,2,FALSE),"código inválido"))</f>
        <v/>
      </c>
      <c r="P474" s="12">
        <f>IF(ISNUMBER(J474),COUNT(J$6:J474),"")</f>
        <v/>
      </c>
    </row>
    <row r="475">
      <c r="A475" s="13" t="n"/>
      <c r="B475" s="10" t="n"/>
      <c r="C475" s="10" t="n"/>
      <c r="D475" s="14" t="n"/>
      <c r="E475" s="14" t="n"/>
      <c r="F475" s="15">
        <f>IF(AND(ISNUMBER(D475),ISNUMBER(E475)),ROUND(IF(E475&lt;D475,E475+1-D475,E475-D475)*1440,2),IF(ISNUMBER(N475),N475,""))</f>
        <v/>
      </c>
      <c r="G475" s="10" t="n"/>
      <c r="H475" s="6">
        <f>IF(G475="","",IFERROR(VLOOKUP(G475,MOT,3,FALSE),"código inválido"))</f>
        <v/>
      </c>
      <c r="I475" s="10" t="n"/>
      <c r="J475" s="16" t="n"/>
      <c r="K475" s="16" t="n"/>
      <c r="L475" s="16" t="n"/>
      <c r="M475" s="16" t="n"/>
      <c r="N475" s="10" t="n"/>
      <c r="O475" s="6">
        <f>IF(G475="","",IFERROR(VLOOKUP(G475,MOT,2,FALSE),"código inválido"))</f>
        <v/>
      </c>
      <c r="P475" s="12">
        <f>IF(ISNUMBER(J475),COUNT(J$6:J475),"")</f>
        <v/>
      </c>
    </row>
    <row r="476">
      <c r="A476" s="13" t="n"/>
      <c r="B476" s="10" t="n"/>
      <c r="C476" s="10" t="n"/>
      <c r="D476" s="14" t="n"/>
      <c r="E476" s="14" t="n"/>
      <c r="F476" s="15">
        <f>IF(AND(ISNUMBER(D476),ISNUMBER(E476)),ROUND(IF(E476&lt;D476,E476+1-D476,E476-D476)*1440,2),IF(ISNUMBER(N476),N476,""))</f>
        <v/>
      </c>
      <c r="G476" s="10" t="n"/>
      <c r="H476" s="6">
        <f>IF(G476="","",IFERROR(VLOOKUP(G476,MOT,3,FALSE),"código inválido"))</f>
        <v/>
      </c>
      <c r="I476" s="10" t="n"/>
      <c r="J476" s="16" t="n"/>
      <c r="K476" s="16" t="n"/>
      <c r="L476" s="16" t="n"/>
      <c r="M476" s="16" t="n"/>
      <c r="N476" s="10" t="n"/>
      <c r="O476" s="6">
        <f>IF(G476="","",IFERROR(VLOOKUP(G476,MOT,2,FALSE),"código inválido"))</f>
        <v/>
      </c>
      <c r="P476" s="12">
        <f>IF(ISNUMBER(J476),COUNT(J$6:J476),"")</f>
        <v/>
      </c>
    </row>
    <row r="477">
      <c r="A477" s="13" t="n"/>
      <c r="B477" s="10" t="n"/>
      <c r="C477" s="10" t="n"/>
      <c r="D477" s="14" t="n"/>
      <c r="E477" s="14" t="n"/>
      <c r="F477" s="15">
        <f>IF(AND(ISNUMBER(D477),ISNUMBER(E477)),ROUND(IF(E477&lt;D477,E477+1-D477,E477-D477)*1440,2),IF(ISNUMBER(N477),N477,""))</f>
        <v/>
      </c>
      <c r="G477" s="10" t="n"/>
      <c r="H477" s="6">
        <f>IF(G477="","",IFERROR(VLOOKUP(G477,MOT,3,FALSE),"código inválido"))</f>
        <v/>
      </c>
      <c r="I477" s="10" t="n"/>
      <c r="J477" s="16" t="n"/>
      <c r="K477" s="16" t="n"/>
      <c r="L477" s="16" t="n"/>
      <c r="M477" s="16" t="n"/>
      <c r="N477" s="10" t="n"/>
      <c r="O477" s="6">
        <f>IF(G477="","",IFERROR(VLOOKUP(G477,MOT,2,FALSE),"código inválido"))</f>
        <v/>
      </c>
      <c r="P477" s="12">
        <f>IF(ISNUMBER(J477),COUNT(J$6:J477),"")</f>
        <v/>
      </c>
    </row>
    <row r="478">
      <c r="A478" s="13" t="n"/>
      <c r="B478" s="10" t="n"/>
      <c r="C478" s="10" t="n"/>
      <c r="D478" s="14" t="n"/>
      <c r="E478" s="14" t="n"/>
      <c r="F478" s="15">
        <f>IF(AND(ISNUMBER(D478),ISNUMBER(E478)),ROUND(IF(E478&lt;D478,E478+1-D478,E478-D478)*1440,2),IF(ISNUMBER(N478),N478,""))</f>
        <v/>
      </c>
      <c r="G478" s="10" t="n"/>
      <c r="H478" s="6">
        <f>IF(G478="","",IFERROR(VLOOKUP(G478,MOT,3,FALSE),"código inválido"))</f>
        <v/>
      </c>
      <c r="I478" s="10" t="n"/>
      <c r="J478" s="16" t="n"/>
      <c r="K478" s="16" t="n"/>
      <c r="L478" s="16" t="n"/>
      <c r="M478" s="16" t="n"/>
      <c r="N478" s="10" t="n"/>
      <c r="O478" s="6">
        <f>IF(G478="","",IFERROR(VLOOKUP(G478,MOT,2,FALSE),"código inválido"))</f>
        <v/>
      </c>
      <c r="P478" s="12">
        <f>IF(ISNUMBER(J478),COUNT(J$6:J478),"")</f>
        <v/>
      </c>
    </row>
    <row r="479">
      <c r="A479" s="13" t="n"/>
      <c r="B479" s="10" t="n"/>
      <c r="C479" s="10" t="n"/>
      <c r="D479" s="14" t="n"/>
      <c r="E479" s="14" t="n"/>
      <c r="F479" s="15">
        <f>IF(AND(ISNUMBER(D479),ISNUMBER(E479)),ROUND(IF(E479&lt;D479,E479+1-D479,E479-D479)*1440,2),IF(ISNUMBER(N479),N479,""))</f>
        <v/>
      </c>
      <c r="G479" s="10" t="n"/>
      <c r="H479" s="6">
        <f>IF(G479="","",IFERROR(VLOOKUP(G479,MOT,3,FALSE),"código inválido"))</f>
        <v/>
      </c>
      <c r="I479" s="10" t="n"/>
      <c r="J479" s="16" t="n"/>
      <c r="K479" s="16" t="n"/>
      <c r="L479" s="16" t="n"/>
      <c r="M479" s="16" t="n"/>
      <c r="N479" s="10" t="n"/>
      <c r="O479" s="6">
        <f>IF(G479="","",IFERROR(VLOOKUP(G479,MOT,2,FALSE),"código inválido"))</f>
        <v/>
      </c>
      <c r="P479" s="12">
        <f>IF(ISNUMBER(J479),COUNT(J$6:J479),"")</f>
        <v/>
      </c>
    </row>
    <row r="480">
      <c r="A480" s="13" t="n"/>
      <c r="B480" s="10" t="n"/>
      <c r="C480" s="10" t="n"/>
      <c r="D480" s="14" t="n"/>
      <c r="E480" s="14" t="n"/>
      <c r="F480" s="15">
        <f>IF(AND(ISNUMBER(D480),ISNUMBER(E480)),ROUND(IF(E480&lt;D480,E480+1-D480,E480-D480)*1440,2),IF(ISNUMBER(N480),N480,""))</f>
        <v/>
      </c>
      <c r="G480" s="10" t="n"/>
      <c r="H480" s="6">
        <f>IF(G480="","",IFERROR(VLOOKUP(G480,MOT,3,FALSE),"código inválido"))</f>
        <v/>
      </c>
      <c r="I480" s="10" t="n"/>
      <c r="J480" s="16" t="n"/>
      <c r="K480" s="16" t="n"/>
      <c r="L480" s="16" t="n"/>
      <c r="M480" s="16" t="n"/>
      <c r="N480" s="10" t="n"/>
      <c r="O480" s="6">
        <f>IF(G480="","",IFERROR(VLOOKUP(G480,MOT,2,FALSE),"código inválido"))</f>
        <v/>
      </c>
      <c r="P480" s="12">
        <f>IF(ISNUMBER(J480),COUNT(J$6:J480),"")</f>
        <v/>
      </c>
    </row>
    <row r="481">
      <c r="A481" s="13" t="n"/>
      <c r="B481" s="10" t="n"/>
      <c r="C481" s="10" t="n"/>
      <c r="D481" s="14" t="n"/>
      <c r="E481" s="14" t="n"/>
      <c r="F481" s="15">
        <f>IF(AND(ISNUMBER(D481),ISNUMBER(E481)),ROUND(IF(E481&lt;D481,E481+1-D481,E481-D481)*1440,2),IF(ISNUMBER(N481),N481,""))</f>
        <v/>
      </c>
      <c r="G481" s="10" t="n"/>
      <c r="H481" s="6">
        <f>IF(G481="","",IFERROR(VLOOKUP(G481,MOT,3,FALSE),"código inválido"))</f>
        <v/>
      </c>
      <c r="I481" s="10" t="n"/>
      <c r="J481" s="16" t="n"/>
      <c r="K481" s="16" t="n"/>
      <c r="L481" s="16" t="n"/>
      <c r="M481" s="16" t="n"/>
      <c r="N481" s="10" t="n"/>
      <c r="O481" s="6">
        <f>IF(G481="","",IFERROR(VLOOKUP(G481,MOT,2,FALSE),"código inválido"))</f>
        <v/>
      </c>
      <c r="P481" s="12">
        <f>IF(ISNUMBER(J481),COUNT(J$6:J481),"")</f>
        <v/>
      </c>
    </row>
    <row r="482">
      <c r="A482" s="13" t="n"/>
      <c r="B482" s="10" t="n"/>
      <c r="C482" s="10" t="n"/>
      <c r="D482" s="14" t="n"/>
      <c r="E482" s="14" t="n"/>
      <c r="F482" s="15">
        <f>IF(AND(ISNUMBER(D482),ISNUMBER(E482)),ROUND(IF(E482&lt;D482,E482+1-D482,E482-D482)*1440,2),IF(ISNUMBER(N482),N482,""))</f>
        <v/>
      </c>
      <c r="G482" s="10" t="n"/>
      <c r="H482" s="6">
        <f>IF(G482="","",IFERROR(VLOOKUP(G482,MOT,3,FALSE),"código inválido"))</f>
        <v/>
      </c>
      <c r="I482" s="10" t="n"/>
      <c r="J482" s="16" t="n"/>
      <c r="K482" s="16" t="n"/>
      <c r="L482" s="16" t="n"/>
      <c r="M482" s="16" t="n"/>
      <c r="N482" s="10" t="n"/>
      <c r="O482" s="6">
        <f>IF(G482="","",IFERROR(VLOOKUP(G482,MOT,2,FALSE),"código inválido"))</f>
        <v/>
      </c>
      <c r="P482" s="12">
        <f>IF(ISNUMBER(J482),COUNT(J$6:J482),"")</f>
        <v/>
      </c>
    </row>
    <row r="483">
      <c r="A483" s="13" t="n"/>
      <c r="B483" s="10" t="n"/>
      <c r="C483" s="10" t="n"/>
      <c r="D483" s="14" t="n"/>
      <c r="E483" s="14" t="n"/>
      <c r="F483" s="15">
        <f>IF(AND(ISNUMBER(D483),ISNUMBER(E483)),ROUND(IF(E483&lt;D483,E483+1-D483,E483-D483)*1440,2),IF(ISNUMBER(N483),N483,""))</f>
        <v/>
      </c>
      <c r="G483" s="10" t="n"/>
      <c r="H483" s="6">
        <f>IF(G483="","",IFERROR(VLOOKUP(G483,MOT,3,FALSE),"código inválido"))</f>
        <v/>
      </c>
      <c r="I483" s="10" t="n"/>
      <c r="J483" s="16" t="n"/>
      <c r="K483" s="16" t="n"/>
      <c r="L483" s="16" t="n"/>
      <c r="M483" s="16" t="n"/>
      <c r="N483" s="10" t="n"/>
      <c r="O483" s="6">
        <f>IF(G483="","",IFERROR(VLOOKUP(G483,MOT,2,FALSE),"código inválido"))</f>
        <v/>
      </c>
      <c r="P483" s="12">
        <f>IF(ISNUMBER(J483),COUNT(J$6:J483),"")</f>
        <v/>
      </c>
    </row>
    <row r="484">
      <c r="A484" s="13" t="n"/>
      <c r="B484" s="10" t="n"/>
      <c r="C484" s="10" t="n"/>
      <c r="D484" s="14" t="n"/>
      <c r="E484" s="14" t="n"/>
      <c r="F484" s="15">
        <f>IF(AND(ISNUMBER(D484),ISNUMBER(E484)),ROUND(IF(E484&lt;D484,E484+1-D484,E484-D484)*1440,2),IF(ISNUMBER(N484),N484,""))</f>
        <v/>
      </c>
      <c r="G484" s="10" t="n"/>
      <c r="H484" s="6">
        <f>IF(G484="","",IFERROR(VLOOKUP(G484,MOT,3,FALSE),"código inválido"))</f>
        <v/>
      </c>
      <c r="I484" s="10" t="n"/>
      <c r="J484" s="16" t="n"/>
      <c r="K484" s="16" t="n"/>
      <c r="L484" s="16" t="n"/>
      <c r="M484" s="16" t="n"/>
      <c r="N484" s="10" t="n"/>
      <c r="O484" s="6">
        <f>IF(G484="","",IFERROR(VLOOKUP(G484,MOT,2,FALSE),"código inválido"))</f>
        <v/>
      </c>
      <c r="P484" s="12">
        <f>IF(ISNUMBER(J484),COUNT(J$6:J484),"")</f>
        <v/>
      </c>
    </row>
    <row r="485">
      <c r="A485" s="13" t="n"/>
      <c r="B485" s="10" t="n"/>
      <c r="C485" s="10" t="n"/>
      <c r="D485" s="14" t="n"/>
      <c r="E485" s="14" t="n"/>
      <c r="F485" s="15">
        <f>IF(AND(ISNUMBER(D485),ISNUMBER(E485)),ROUND(IF(E485&lt;D485,E485+1-D485,E485-D485)*1440,2),IF(ISNUMBER(N485),N485,""))</f>
        <v/>
      </c>
      <c r="G485" s="10" t="n"/>
      <c r="H485" s="6">
        <f>IF(G485="","",IFERROR(VLOOKUP(G485,MOT,3,FALSE),"código inválido"))</f>
        <v/>
      </c>
      <c r="I485" s="10" t="n"/>
      <c r="J485" s="16" t="n"/>
      <c r="K485" s="16" t="n"/>
      <c r="L485" s="16" t="n"/>
      <c r="M485" s="16" t="n"/>
      <c r="N485" s="10" t="n"/>
      <c r="O485" s="6">
        <f>IF(G485="","",IFERROR(VLOOKUP(G485,MOT,2,FALSE),"código inválido"))</f>
        <v/>
      </c>
      <c r="P485" s="12">
        <f>IF(ISNUMBER(J485),COUNT(J$6:J485),"")</f>
        <v/>
      </c>
    </row>
    <row r="486">
      <c r="A486" s="13" t="n"/>
      <c r="B486" s="10" t="n"/>
      <c r="C486" s="10" t="n"/>
      <c r="D486" s="14" t="n"/>
      <c r="E486" s="14" t="n"/>
      <c r="F486" s="15">
        <f>IF(AND(ISNUMBER(D486),ISNUMBER(E486)),ROUND(IF(E486&lt;D486,E486+1-D486,E486-D486)*1440,2),IF(ISNUMBER(N486),N486,""))</f>
        <v/>
      </c>
      <c r="G486" s="10" t="n"/>
      <c r="H486" s="6">
        <f>IF(G486="","",IFERROR(VLOOKUP(G486,MOT,3,FALSE),"código inválido"))</f>
        <v/>
      </c>
      <c r="I486" s="10" t="n"/>
      <c r="J486" s="16" t="n"/>
      <c r="K486" s="16" t="n"/>
      <c r="L486" s="16" t="n"/>
      <c r="M486" s="16" t="n"/>
      <c r="N486" s="10" t="n"/>
      <c r="O486" s="6">
        <f>IF(G486="","",IFERROR(VLOOKUP(G486,MOT,2,FALSE),"código inválido"))</f>
        <v/>
      </c>
      <c r="P486" s="12">
        <f>IF(ISNUMBER(J486),COUNT(J$6:J486),"")</f>
        <v/>
      </c>
    </row>
    <row r="487">
      <c r="A487" s="13" t="n"/>
      <c r="B487" s="10" t="n"/>
      <c r="C487" s="10" t="n"/>
      <c r="D487" s="14" t="n"/>
      <c r="E487" s="14" t="n"/>
      <c r="F487" s="15">
        <f>IF(AND(ISNUMBER(D487),ISNUMBER(E487)),ROUND(IF(E487&lt;D487,E487+1-D487,E487-D487)*1440,2),IF(ISNUMBER(N487),N487,""))</f>
        <v/>
      </c>
      <c r="G487" s="10" t="n"/>
      <c r="H487" s="6">
        <f>IF(G487="","",IFERROR(VLOOKUP(G487,MOT,3,FALSE),"código inválido"))</f>
        <v/>
      </c>
      <c r="I487" s="10" t="n"/>
      <c r="J487" s="16" t="n"/>
      <c r="K487" s="16" t="n"/>
      <c r="L487" s="16" t="n"/>
      <c r="M487" s="16" t="n"/>
      <c r="N487" s="10" t="n"/>
      <c r="O487" s="6">
        <f>IF(G487="","",IFERROR(VLOOKUP(G487,MOT,2,FALSE),"código inválido"))</f>
        <v/>
      </c>
      <c r="P487" s="12">
        <f>IF(ISNUMBER(J487),COUNT(J$6:J487),"")</f>
        <v/>
      </c>
    </row>
    <row r="488">
      <c r="A488" s="13" t="n"/>
      <c r="B488" s="10" t="n"/>
      <c r="C488" s="10" t="n"/>
      <c r="D488" s="14" t="n"/>
      <c r="E488" s="14" t="n"/>
      <c r="F488" s="15">
        <f>IF(AND(ISNUMBER(D488),ISNUMBER(E488)),ROUND(IF(E488&lt;D488,E488+1-D488,E488-D488)*1440,2),IF(ISNUMBER(N488),N488,""))</f>
        <v/>
      </c>
      <c r="G488" s="10" t="n"/>
      <c r="H488" s="6">
        <f>IF(G488="","",IFERROR(VLOOKUP(G488,MOT,3,FALSE),"código inválido"))</f>
        <v/>
      </c>
      <c r="I488" s="10" t="n"/>
      <c r="J488" s="16" t="n"/>
      <c r="K488" s="16" t="n"/>
      <c r="L488" s="16" t="n"/>
      <c r="M488" s="16" t="n"/>
      <c r="N488" s="10" t="n"/>
      <c r="O488" s="6">
        <f>IF(G488="","",IFERROR(VLOOKUP(G488,MOT,2,FALSE),"código inválido"))</f>
        <v/>
      </c>
      <c r="P488" s="12">
        <f>IF(ISNUMBER(J488),COUNT(J$6:J488),"")</f>
        <v/>
      </c>
    </row>
    <row r="489">
      <c r="A489" s="13" t="n"/>
      <c r="B489" s="10" t="n"/>
      <c r="C489" s="10" t="n"/>
      <c r="D489" s="14" t="n"/>
      <c r="E489" s="14" t="n"/>
      <c r="F489" s="15">
        <f>IF(AND(ISNUMBER(D489),ISNUMBER(E489)),ROUND(IF(E489&lt;D489,E489+1-D489,E489-D489)*1440,2),IF(ISNUMBER(N489),N489,""))</f>
        <v/>
      </c>
      <c r="G489" s="10" t="n"/>
      <c r="H489" s="6">
        <f>IF(G489="","",IFERROR(VLOOKUP(G489,MOT,3,FALSE),"código inválido"))</f>
        <v/>
      </c>
      <c r="I489" s="10" t="n"/>
      <c r="J489" s="16" t="n"/>
      <c r="K489" s="16" t="n"/>
      <c r="L489" s="16" t="n"/>
      <c r="M489" s="16" t="n"/>
      <c r="N489" s="10" t="n"/>
      <c r="O489" s="6">
        <f>IF(G489="","",IFERROR(VLOOKUP(G489,MOT,2,FALSE),"código inválido"))</f>
        <v/>
      </c>
      <c r="P489" s="12">
        <f>IF(ISNUMBER(J489),COUNT(J$6:J489),"")</f>
        <v/>
      </c>
    </row>
    <row r="490">
      <c r="A490" s="13" t="n"/>
      <c r="B490" s="10" t="n"/>
      <c r="C490" s="10" t="n"/>
      <c r="D490" s="14" t="n"/>
      <c r="E490" s="14" t="n"/>
      <c r="F490" s="15">
        <f>IF(AND(ISNUMBER(D490),ISNUMBER(E490)),ROUND(IF(E490&lt;D490,E490+1-D490,E490-D490)*1440,2),IF(ISNUMBER(N490),N490,""))</f>
        <v/>
      </c>
      <c r="G490" s="10" t="n"/>
      <c r="H490" s="6">
        <f>IF(G490="","",IFERROR(VLOOKUP(G490,MOT,3,FALSE),"código inválido"))</f>
        <v/>
      </c>
      <c r="I490" s="10" t="n"/>
      <c r="J490" s="16" t="n"/>
      <c r="K490" s="16" t="n"/>
      <c r="L490" s="16" t="n"/>
      <c r="M490" s="16" t="n"/>
      <c r="N490" s="10" t="n"/>
      <c r="O490" s="6">
        <f>IF(G490="","",IFERROR(VLOOKUP(G490,MOT,2,FALSE),"código inválido"))</f>
        <v/>
      </c>
      <c r="P490" s="12">
        <f>IF(ISNUMBER(J490),COUNT(J$6:J490),"")</f>
        <v/>
      </c>
    </row>
    <row r="491">
      <c r="A491" s="13" t="n"/>
      <c r="B491" s="10" t="n"/>
      <c r="C491" s="10" t="n"/>
      <c r="D491" s="14" t="n"/>
      <c r="E491" s="14" t="n"/>
      <c r="F491" s="15">
        <f>IF(AND(ISNUMBER(D491),ISNUMBER(E491)),ROUND(IF(E491&lt;D491,E491+1-D491,E491-D491)*1440,2),IF(ISNUMBER(N491),N491,""))</f>
        <v/>
      </c>
      <c r="G491" s="10" t="n"/>
      <c r="H491" s="6">
        <f>IF(G491="","",IFERROR(VLOOKUP(G491,MOT,3,FALSE),"código inválido"))</f>
        <v/>
      </c>
      <c r="I491" s="10" t="n"/>
      <c r="J491" s="16" t="n"/>
      <c r="K491" s="16" t="n"/>
      <c r="L491" s="16" t="n"/>
      <c r="M491" s="16" t="n"/>
      <c r="N491" s="10" t="n"/>
      <c r="O491" s="6">
        <f>IF(G491="","",IFERROR(VLOOKUP(G491,MOT,2,FALSE),"código inválido"))</f>
        <v/>
      </c>
      <c r="P491" s="12">
        <f>IF(ISNUMBER(J491),COUNT(J$6:J491),"")</f>
        <v/>
      </c>
    </row>
    <row r="492">
      <c r="A492" s="13" t="n"/>
      <c r="B492" s="10" t="n"/>
      <c r="C492" s="10" t="n"/>
      <c r="D492" s="14" t="n"/>
      <c r="E492" s="14" t="n"/>
      <c r="F492" s="15">
        <f>IF(AND(ISNUMBER(D492),ISNUMBER(E492)),ROUND(IF(E492&lt;D492,E492+1-D492,E492-D492)*1440,2),IF(ISNUMBER(N492),N492,""))</f>
        <v/>
      </c>
      <c r="G492" s="10" t="n"/>
      <c r="H492" s="6">
        <f>IF(G492="","",IFERROR(VLOOKUP(G492,MOT,3,FALSE),"código inválido"))</f>
        <v/>
      </c>
      <c r="I492" s="10" t="n"/>
      <c r="J492" s="16" t="n"/>
      <c r="K492" s="16" t="n"/>
      <c r="L492" s="16" t="n"/>
      <c r="M492" s="16" t="n"/>
      <c r="N492" s="10" t="n"/>
      <c r="O492" s="6">
        <f>IF(G492="","",IFERROR(VLOOKUP(G492,MOT,2,FALSE),"código inválido"))</f>
        <v/>
      </c>
      <c r="P492" s="12">
        <f>IF(ISNUMBER(J492),COUNT(J$6:J492),"")</f>
        <v/>
      </c>
    </row>
    <row r="493">
      <c r="A493" s="13" t="n"/>
      <c r="B493" s="10" t="n"/>
      <c r="C493" s="10" t="n"/>
      <c r="D493" s="14" t="n"/>
      <c r="E493" s="14" t="n"/>
      <c r="F493" s="15">
        <f>IF(AND(ISNUMBER(D493),ISNUMBER(E493)),ROUND(IF(E493&lt;D493,E493+1-D493,E493-D493)*1440,2),IF(ISNUMBER(N493),N493,""))</f>
        <v/>
      </c>
      <c r="G493" s="10" t="n"/>
      <c r="H493" s="6">
        <f>IF(G493="","",IFERROR(VLOOKUP(G493,MOT,3,FALSE),"código inválido"))</f>
        <v/>
      </c>
      <c r="I493" s="10" t="n"/>
      <c r="J493" s="16" t="n"/>
      <c r="K493" s="16" t="n"/>
      <c r="L493" s="16" t="n"/>
      <c r="M493" s="16" t="n"/>
      <c r="N493" s="10" t="n"/>
      <c r="O493" s="6">
        <f>IF(G493="","",IFERROR(VLOOKUP(G493,MOT,2,FALSE),"código inválido"))</f>
        <v/>
      </c>
      <c r="P493" s="12">
        <f>IF(ISNUMBER(J493),COUNT(J$6:J493),"")</f>
        <v/>
      </c>
    </row>
    <row r="494">
      <c r="A494" s="13" t="n"/>
      <c r="B494" s="10" t="n"/>
      <c r="C494" s="10" t="n"/>
      <c r="D494" s="14" t="n"/>
      <c r="E494" s="14" t="n"/>
      <c r="F494" s="15">
        <f>IF(AND(ISNUMBER(D494),ISNUMBER(E494)),ROUND(IF(E494&lt;D494,E494+1-D494,E494-D494)*1440,2),IF(ISNUMBER(N494),N494,""))</f>
        <v/>
      </c>
      <c r="G494" s="10" t="n"/>
      <c r="H494" s="6">
        <f>IF(G494="","",IFERROR(VLOOKUP(G494,MOT,3,FALSE),"código inválido"))</f>
        <v/>
      </c>
      <c r="I494" s="10" t="n"/>
      <c r="J494" s="16" t="n"/>
      <c r="K494" s="16" t="n"/>
      <c r="L494" s="16" t="n"/>
      <c r="M494" s="16" t="n"/>
      <c r="N494" s="10" t="n"/>
      <c r="O494" s="6">
        <f>IF(G494="","",IFERROR(VLOOKUP(G494,MOT,2,FALSE),"código inválido"))</f>
        <v/>
      </c>
      <c r="P494" s="12">
        <f>IF(ISNUMBER(J494),COUNT(J$6:J494),"")</f>
        <v/>
      </c>
    </row>
    <row r="495">
      <c r="A495" s="13" t="n"/>
      <c r="B495" s="10" t="n"/>
      <c r="C495" s="10" t="n"/>
      <c r="D495" s="14" t="n"/>
      <c r="E495" s="14" t="n"/>
      <c r="F495" s="15">
        <f>IF(AND(ISNUMBER(D495),ISNUMBER(E495)),ROUND(IF(E495&lt;D495,E495+1-D495,E495-D495)*1440,2),IF(ISNUMBER(N495),N495,""))</f>
        <v/>
      </c>
      <c r="G495" s="10" t="n"/>
      <c r="H495" s="6">
        <f>IF(G495="","",IFERROR(VLOOKUP(G495,MOT,3,FALSE),"código inválido"))</f>
        <v/>
      </c>
      <c r="I495" s="10" t="n"/>
      <c r="J495" s="16" t="n"/>
      <c r="K495" s="16" t="n"/>
      <c r="L495" s="16" t="n"/>
      <c r="M495" s="16" t="n"/>
      <c r="N495" s="10" t="n"/>
      <c r="O495" s="6">
        <f>IF(G495="","",IFERROR(VLOOKUP(G495,MOT,2,FALSE),"código inválido"))</f>
        <v/>
      </c>
      <c r="P495" s="12">
        <f>IF(ISNUMBER(J495),COUNT(J$6:J495),"")</f>
        <v/>
      </c>
    </row>
    <row r="496">
      <c r="A496" s="13" t="n"/>
      <c r="B496" s="10" t="n"/>
      <c r="C496" s="10" t="n"/>
      <c r="D496" s="14" t="n"/>
      <c r="E496" s="14" t="n"/>
      <c r="F496" s="15">
        <f>IF(AND(ISNUMBER(D496),ISNUMBER(E496)),ROUND(IF(E496&lt;D496,E496+1-D496,E496-D496)*1440,2),IF(ISNUMBER(N496),N496,""))</f>
        <v/>
      </c>
      <c r="G496" s="10" t="n"/>
      <c r="H496" s="6">
        <f>IF(G496="","",IFERROR(VLOOKUP(G496,MOT,3,FALSE),"código inválido"))</f>
        <v/>
      </c>
      <c r="I496" s="10" t="n"/>
      <c r="J496" s="16" t="n"/>
      <c r="K496" s="16" t="n"/>
      <c r="L496" s="16" t="n"/>
      <c r="M496" s="16" t="n"/>
      <c r="N496" s="10" t="n"/>
      <c r="O496" s="6">
        <f>IF(G496="","",IFERROR(VLOOKUP(G496,MOT,2,FALSE),"código inválido"))</f>
        <v/>
      </c>
      <c r="P496" s="12">
        <f>IF(ISNUMBER(J496),COUNT(J$6:J496),"")</f>
        <v/>
      </c>
    </row>
    <row r="497">
      <c r="A497" s="13" t="n"/>
      <c r="B497" s="10" t="n"/>
      <c r="C497" s="10" t="n"/>
      <c r="D497" s="14" t="n"/>
      <c r="E497" s="14" t="n"/>
      <c r="F497" s="15">
        <f>IF(AND(ISNUMBER(D497),ISNUMBER(E497)),ROUND(IF(E497&lt;D497,E497+1-D497,E497-D497)*1440,2),IF(ISNUMBER(N497),N497,""))</f>
        <v/>
      </c>
      <c r="G497" s="10" t="n"/>
      <c r="H497" s="6">
        <f>IF(G497="","",IFERROR(VLOOKUP(G497,MOT,3,FALSE),"código inválido"))</f>
        <v/>
      </c>
      <c r="I497" s="10" t="n"/>
      <c r="J497" s="16" t="n"/>
      <c r="K497" s="16" t="n"/>
      <c r="L497" s="16" t="n"/>
      <c r="M497" s="16" t="n"/>
      <c r="N497" s="10" t="n"/>
      <c r="O497" s="6">
        <f>IF(G497="","",IFERROR(VLOOKUP(G497,MOT,2,FALSE),"código inválido"))</f>
        <v/>
      </c>
      <c r="P497" s="12">
        <f>IF(ISNUMBER(J497),COUNT(J$6:J497),"")</f>
        <v/>
      </c>
    </row>
    <row r="498">
      <c r="A498" s="13" t="n"/>
      <c r="B498" s="10" t="n"/>
      <c r="C498" s="10" t="n"/>
      <c r="D498" s="14" t="n"/>
      <c r="E498" s="14" t="n"/>
      <c r="F498" s="15">
        <f>IF(AND(ISNUMBER(D498),ISNUMBER(E498)),ROUND(IF(E498&lt;D498,E498+1-D498,E498-D498)*1440,2),IF(ISNUMBER(N498),N498,""))</f>
        <v/>
      </c>
      <c r="G498" s="10" t="n"/>
      <c r="H498" s="6">
        <f>IF(G498="","",IFERROR(VLOOKUP(G498,MOT,3,FALSE),"código inválido"))</f>
        <v/>
      </c>
      <c r="I498" s="10" t="n"/>
      <c r="J498" s="16" t="n"/>
      <c r="K498" s="16" t="n"/>
      <c r="L498" s="16" t="n"/>
      <c r="M498" s="16" t="n"/>
      <c r="N498" s="10" t="n"/>
      <c r="O498" s="6">
        <f>IF(G498="","",IFERROR(VLOOKUP(G498,MOT,2,FALSE),"código inválido"))</f>
        <v/>
      </c>
      <c r="P498" s="12">
        <f>IF(ISNUMBER(J498),COUNT(J$6:J498),"")</f>
        <v/>
      </c>
    </row>
    <row r="499">
      <c r="A499" s="13" t="n"/>
      <c r="B499" s="10" t="n"/>
      <c r="C499" s="10" t="n"/>
      <c r="D499" s="14" t="n"/>
      <c r="E499" s="14" t="n"/>
      <c r="F499" s="15">
        <f>IF(AND(ISNUMBER(D499),ISNUMBER(E499)),ROUND(IF(E499&lt;D499,E499+1-D499,E499-D499)*1440,2),IF(ISNUMBER(N499),N499,""))</f>
        <v/>
      </c>
      <c r="G499" s="10" t="n"/>
      <c r="H499" s="6">
        <f>IF(G499="","",IFERROR(VLOOKUP(G499,MOT,3,FALSE),"código inválido"))</f>
        <v/>
      </c>
      <c r="I499" s="10" t="n"/>
      <c r="J499" s="16" t="n"/>
      <c r="K499" s="16" t="n"/>
      <c r="L499" s="16" t="n"/>
      <c r="M499" s="16" t="n"/>
      <c r="N499" s="10" t="n"/>
      <c r="O499" s="6">
        <f>IF(G499="","",IFERROR(VLOOKUP(G499,MOT,2,FALSE),"código inválido"))</f>
        <v/>
      </c>
      <c r="P499" s="12">
        <f>IF(ISNUMBER(J499),COUNT(J$6:J499),"")</f>
        <v/>
      </c>
    </row>
    <row r="500">
      <c r="A500" s="13" t="n"/>
      <c r="B500" s="10" t="n"/>
      <c r="C500" s="10" t="n"/>
      <c r="D500" s="14" t="n"/>
      <c r="E500" s="14" t="n"/>
      <c r="F500" s="15">
        <f>IF(AND(ISNUMBER(D500),ISNUMBER(E500)),ROUND(IF(E500&lt;D500,E500+1-D500,E500-D500)*1440,2),IF(ISNUMBER(N500),N500,""))</f>
        <v/>
      </c>
      <c r="G500" s="10" t="n"/>
      <c r="H500" s="6">
        <f>IF(G500="","",IFERROR(VLOOKUP(G500,MOT,3,FALSE),"código inválido"))</f>
        <v/>
      </c>
      <c r="I500" s="10" t="n"/>
      <c r="J500" s="16" t="n"/>
      <c r="K500" s="16" t="n"/>
      <c r="L500" s="16" t="n"/>
      <c r="M500" s="16" t="n"/>
      <c r="N500" s="10" t="n"/>
      <c r="O500" s="6">
        <f>IF(G500="","",IFERROR(VLOOKUP(G500,MOT,2,FALSE),"código inválido"))</f>
        <v/>
      </c>
      <c r="P500" s="12">
        <f>IF(ISNUMBER(J500),COUNT(J$6:J500),"")</f>
        <v/>
      </c>
    </row>
    <row r="501">
      <c r="A501" s="13" t="n"/>
      <c r="B501" s="10" t="n"/>
      <c r="C501" s="10" t="n"/>
      <c r="D501" s="14" t="n"/>
      <c r="E501" s="14" t="n"/>
      <c r="F501" s="15">
        <f>IF(AND(ISNUMBER(D501),ISNUMBER(E501)),ROUND(IF(E501&lt;D501,E501+1-D501,E501-D501)*1440,2),IF(ISNUMBER(N501),N501,""))</f>
        <v/>
      </c>
      <c r="G501" s="10" t="n"/>
      <c r="H501" s="6">
        <f>IF(G501="","",IFERROR(VLOOKUP(G501,MOT,3,FALSE),"código inválido"))</f>
        <v/>
      </c>
      <c r="I501" s="10" t="n"/>
      <c r="J501" s="16" t="n"/>
      <c r="K501" s="16" t="n"/>
      <c r="L501" s="16" t="n"/>
      <c r="M501" s="16" t="n"/>
      <c r="N501" s="10" t="n"/>
      <c r="O501" s="6">
        <f>IF(G501="","",IFERROR(VLOOKUP(G501,MOT,2,FALSE),"código inválido"))</f>
        <v/>
      </c>
      <c r="P501" s="12">
        <f>IF(ISNUMBER(J501),COUNT(J$6:J501),"")</f>
        <v/>
      </c>
    </row>
    <row r="502">
      <c r="A502" s="13" t="n"/>
      <c r="B502" s="10" t="n"/>
      <c r="C502" s="10" t="n"/>
      <c r="D502" s="14" t="n"/>
      <c r="E502" s="14" t="n"/>
      <c r="F502" s="15">
        <f>IF(AND(ISNUMBER(D502),ISNUMBER(E502)),ROUND(IF(E502&lt;D502,E502+1-D502,E502-D502)*1440,2),IF(ISNUMBER(N502),N502,""))</f>
        <v/>
      </c>
      <c r="G502" s="10" t="n"/>
      <c r="H502" s="6">
        <f>IF(G502="","",IFERROR(VLOOKUP(G502,MOT,3,FALSE),"código inválido"))</f>
        <v/>
      </c>
      <c r="I502" s="10" t="n"/>
      <c r="J502" s="16" t="n"/>
      <c r="K502" s="16" t="n"/>
      <c r="L502" s="16" t="n"/>
      <c r="M502" s="16" t="n"/>
      <c r="N502" s="10" t="n"/>
      <c r="O502" s="6">
        <f>IF(G502="","",IFERROR(VLOOKUP(G502,MOT,2,FALSE),"código inválido"))</f>
        <v/>
      </c>
      <c r="P502" s="12">
        <f>IF(ISNUMBER(J502),COUNT(J$6:J502),"")</f>
        <v/>
      </c>
    </row>
    <row r="503">
      <c r="A503" s="13" t="n"/>
      <c r="B503" s="10" t="n"/>
      <c r="C503" s="10" t="n"/>
      <c r="D503" s="14" t="n"/>
      <c r="E503" s="14" t="n"/>
      <c r="F503" s="15">
        <f>IF(AND(ISNUMBER(D503),ISNUMBER(E503)),ROUND(IF(E503&lt;D503,E503+1-D503,E503-D503)*1440,2),IF(ISNUMBER(N503),N503,""))</f>
        <v/>
      </c>
      <c r="G503" s="10" t="n"/>
      <c r="H503" s="6">
        <f>IF(G503="","",IFERROR(VLOOKUP(G503,MOT,3,FALSE),"código inválido"))</f>
        <v/>
      </c>
      <c r="I503" s="10" t="n"/>
      <c r="J503" s="16" t="n"/>
      <c r="K503" s="16" t="n"/>
      <c r="L503" s="16" t="n"/>
      <c r="M503" s="16" t="n"/>
      <c r="N503" s="10" t="n"/>
      <c r="O503" s="6">
        <f>IF(G503="","",IFERROR(VLOOKUP(G503,MOT,2,FALSE),"código inválido"))</f>
        <v/>
      </c>
      <c r="P503" s="12">
        <f>IF(ISNUMBER(J503),COUNT(J$6:J503),"")</f>
        <v/>
      </c>
    </row>
    <row r="504">
      <c r="A504" s="13" t="n"/>
      <c r="B504" s="10" t="n"/>
      <c r="C504" s="10" t="n"/>
      <c r="D504" s="14" t="n"/>
      <c r="E504" s="14" t="n"/>
      <c r="F504" s="15">
        <f>IF(AND(ISNUMBER(D504),ISNUMBER(E504)),ROUND(IF(E504&lt;D504,E504+1-D504,E504-D504)*1440,2),IF(ISNUMBER(N504),N504,""))</f>
        <v/>
      </c>
      <c r="G504" s="10" t="n"/>
      <c r="H504" s="6">
        <f>IF(G504="","",IFERROR(VLOOKUP(G504,MOT,3,FALSE),"código inválido"))</f>
        <v/>
      </c>
      <c r="I504" s="10" t="n"/>
      <c r="J504" s="16" t="n"/>
      <c r="K504" s="16" t="n"/>
      <c r="L504" s="16" t="n"/>
      <c r="M504" s="16" t="n"/>
      <c r="N504" s="10" t="n"/>
      <c r="O504" s="6">
        <f>IF(G504="","",IFERROR(VLOOKUP(G504,MOT,2,FALSE),"código inválido"))</f>
        <v/>
      </c>
      <c r="P504" s="12">
        <f>IF(ISNUMBER(J504),COUNT(J$6:J504),"")</f>
        <v/>
      </c>
    </row>
    <row r="505">
      <c r="A505" s="13" t="n"/>
      <c r="B505" s="10" t="n"/>
      <c r="C505" s="10" t="n"/>
      <c r="D505" s="14" t="n"/>
      <c r="E505" s="14" t="n"/>
      <c r="F505" s="15">
        <f>IF(AND(ISNUMBER(D505),ISNUMBER(E505)),ROUND(IF(E505&lt;D505,E505+1-D505,E505-D505)*1440,2),IF(ISNUMBER(N505),N505,""))</f>
        <v/>
      </c>
      <c r="G505" s="10" t="n"/>
      <c r="H505" s="6">
        <f>IF(G505="","",IFERROR(VLOOKUP(G505,MOT,3,FALSE),"código inválido"))</f>
        <v/>
      </c>
      <c r="I505" s="10" t="n"/>
      <c r="J505" s="16" t="n"/>
      <c r="K505" s="16" t="n"/>
      <c r="L505" s="16" t="n"/>
      <c r="M505" s="16" t="n"/>
      <c r="N505" s="10" t="n"/>
      <c r="O505" s="6">
        <f>IF(G505="","",IFERROR(VLOOKUP(G505,MOT,2,FALSE),"código inválido"))</f>
        <v/>
      </c>
      <c r="P505" s="12">
        <f>IF(ISNUMBER(J505),COUNT(J$6:J505),"")</f>
        <v/>
      </c>
    </row>
  </sheetData>
  <dataValidations count="3">
    <dataValidation sqref="B6:B505" showDropDown="0" showInputMessage="0" showErrorMessage="0" allowBlank="0" type="list">
      <formula1>"A,B,C"</formula1>
    </dataValidation>
    <dataValidation sqref="C6:C505" showDropDown="0" showInputMessage="0" showErrorMessage="0" allowBlank="0" type="list">
      <formula1>=Cadastro!$A$6:$A$25</formula1>
    </dataValidation>
    <dataValidation sqref="G6:G505" showDropDown="0" showInputMessage="0" showErrorMessage="0" allowBlank="0" type="list">
      <formula1>=Motivos!$A$6:$A$25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E105"/>
  <sheetViews>
    <sheetView showGridLines="0"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26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</cols>
  <sheetData>
    <row r="1">
      <c r="A1" s="1" t="inlineStr">
        <is>
          <t>Cálculo: uma linha por turno, nenhum número digitado</t>
        </is>
      </c>
    </row>
    <row r="2">
      <c r="A2" s="2" t="inlineStr">
        <is>
          <t>Voitto · blog.voitto.com.br · Modelo de OEE em Excel: o cálculo decomposto</t>
        </is>
      </c>
    </row>
    <row r="3">
      <c r="A3" s="8" t="inlineStr">
        <is>
          <t>A linha só pode ser publicada quando as duas vias fecham (coluna Diferença = 0) e a Crítica está vazia. Exibição com uma casa decimal: o apontamento manual não tem mais precisão que isso.</t>
        </is>
      </c>
    </row>
    <row r="5" ht="58" customHeight="1">
      <c r="A5" s="9" t="inlineStr">
        <is>
          <t>Nº</t>
        </is>
      </c>
      <c r="B5" s="9" t="inlineStr">
        <is>
          <t>Data</t>
        </is>
      </c>
      <c r="C5" s="9" t="inlineStr">
        <is>
          <t>Turno</t>
        </is>
      </c>
      <c r="D5" s="9" t="inlineStr">
        <is>
          <t>Equipamento</t>
        </is>
      </c>
      <c r="E5" s="9" t="inlineStr">
        <is>
          <t>Tempo calendário (min)</t>
        </is>
      </c>
      <c r="F5" s="9" t="inlineStr">
        <is>
          <t>Exclusões fixas (min)</t>
        </is>
      </c>
      <c r="G5" s="9" t="inlineStr">
        <is>
          <t>Paradas planejadas apontadas (min)</t>
        </is>
      </c>
      <c r="H5" s="9" t="inlineStr">
        <is>
          <t>Tempo planejado (min)</t>
        </is>
      </c>
      <c r="I5" s="9" t="inlineStr">
        <is>
          <t>Paradas não planejadas (min)</t>
        </is>
      </c>
      <c r="J5" s="9" t="inlineStr">
        <is>
          <t>Tempo operando (min)</t>
        </is>
      </c>
      <c r="K5" s="9" t="inlineStr">
        <is>
          <t>Crítica</t>
        </is>
      </c>
      <c r="L5" s="9" t="inlineStr">
        <is>
          <t>Disponibilidade</t>
        </is>
      </c>
      <c r="M5" s="9" t="inlineStr">
        <is>
          <t>Cadência nominal (pç/min)</t>
        </is>
      </c>
      <c r="N5" s="9" t="inlineStr">
        <is>
          <t>Produzido (pç)</t>
        </is>
      </c>
      <c r="O5" s="9" t="inlineStr">
        <is>
          <t>Produção possível (pç)</t>
        </is>
      </c>
      <c r="P5" s="9" t="inlineStr">
        <is>
          <t>Desempenho</t>
        </is>
      </c>
      <c r="Q5" s="9" t="inlineStr">
        <is>
          <t>Refugo (pç)</t>
        </is>
      </c>
      <c r="R5" s="9" t="inlineStr">
        <is>
          <t>Retrabalho (pç)</t>
        </is>
      </c>
      <c r="S5" s="9" t="inlineStr">
        <is>
          <t>Peças boas (pç)</t>
        </is>
      </c>
      <c r="T5" s="9" t="inlineStr">
        <is>
          <t>Qualidade</t>
        </is>
      </c>
      <c r="U5" s="9" t="inlineStr">
        <is>
          <t>OEE</t>
        </is>
      </c>
      <c r="V5" s="9" t="inlineStr">
        <is>
          <t>OEE via curta</t>
        </is>
      </c>
      <c r="W5" s="9" t="inlineStr">
        <is>
          <t>Diferença (deve ser 0)</t>
        </is>
      </c>
      <c r="X5" s="9" t="inlineStr">
        <is>
          <t>Status</t>
        </is>
      </c>
      <c r="Y5" s="9" t="inlineStr">
        <is>
          <t>Perda disponibilidade (min)</t>
        </is>
      </c>
      <c r="Z5" s="9" t="inlineStr">
        <is>
          <t>Perda desempenho (min)</t>
        </is>
      </c>
      <c r="AA5" s="9" t="inlineStr">
        <is>
          <t>Perda qualidade (min)</t>
        </is>
      </c>
      <c r="AB5" s="9" t="inlineStr">
        <is>
          <t>Tempo efetivo (min)</t>
        </is>
      </c>
      <c r="AC5" s="9" t="inlineStr">
        <is>
          <t>Soma das parcelas (min)</t>
        </is>
      </c>
      <c r="AD5" s="9" t="inlineStr">
        <is>
          <t>Perda de arranque (min)</t>
        </is>
      </c>
      <c r="AE5" s="9" t="inlineStr">
        <is>
          <t>Refugo de arranque (pç)</t>
        </is>
      </c>
    </row>
    <row r="6">
      <c r="A6" s="12" t="n">
        <v>1</v>
      </c>
      <c r="B6" s="17">
        <f>IFERROR(INDEX(AP_DATA,MATCH($A6,AP_FECH,0)),"")</f>
        <v/>
      </c>
      <c r="C6" s="6">
        <f>IFERROR(INDEX(AP_TURNO,MATCH($A6,AP_FECH,0)),"")</f>
        <v/>
      </c>
      <c r="D6" s="6">
        <f>IFERROR(INDEX(AP_EQ,MATCH($A6,AP_FECH,0)),"")</f>
        <v/>
      </c>
      <c r="E6" s="12">
        <f>IF($B6="","",VLOOKUP($D6,CAD,5,FALSE))</f>
        <v/>
      </c>
      <c r="F6" s="12">
        <f>IF($B6="","",VLOOKUP($D6,CAD,5,FALSE)-VLOOKUP($D6,CAD,10,FALSE))</f>
        <v/>
      </c>
      <c r="G6" s="15">
        <f>IF($B6="","",SUMIFS(AP_DUR,AP_DATA,$B6,AP_TURNO,$C6,AP_EQ,$D6,AP_CLASSE,"Planejada"))</f>
        <v/>
      </c>
      <c r="H6" s="15">
        <f>IF($B6="","",E6-F6-G6)</f>
        <v/>
      </c>
      <c r="I6" s="15">
        <f>IF($B6="","",SUMIFS(AP_DUR,AP_DATA,$B6,AP_TURNO,$C6,AP_EQ,$D6,AP_CLASSE,"Não planejada"))</f>
        <v/>
      </c>
      <c r="J6" s="15">
        <f>IF($B6="","",H6-I6)</f>
        <v/>
      </c>
      <c r="K6" s="6">
        <f>IF($B6="","",IF(I6&gt;H6,"ERRO",""))</f>
        <v/>
      </c>
      <c r="L6" s="18">
        <f>IF($B6="","",IFERROR(J6/H6,""))</f>
        <v/>
      </c>
      <c r="M6" s="15">
        <f>IF($B6="","",VLOOKUP($D6,CAD,3,FALSE))</f>
        <v/>
      </c>
      <c r="N6" s="19">
        <f>IF($B6="","",INDEX(AP_PROD,MATCH($A6,AP_FECH,0)))</f>
        <v/>
      </c>
      <c r="O6" s="19">
        <f>IF($B6="","",J6*M6)</f>
        <v/>
      </c>
      <c r="P6" s="18">
        <f>IF($B6="","",IFERROR(N6/O6,""))</f>
        <v/>
      </c>
      <c r="Q6" s="19">
        <f>IF($B6="","",INDEX(AP_REF,MATCH($A6,AP_FECH,0)))</f>
        <v/>
      </c>
      <c r="R6" s="19">
        <f>IF($B6="","",INDEX(AP_RET,MATCH($A6,AP_FECH,0)))</f>
        <v/>
      </c>
      <c r="S6" s="19">
        <f>IF($B6="","",N6-Q6-R6)</f>
        <v/>
      </c>
      <c r="T6" s="18">
        <f>IF($B6="","",IFERROR(S6/N6,""))</f>
        <v/>
      </c>
      <c r="U6" s="18">
        <f>IF($B6="","",IFERROR(L6*P6*T6,""))</f>
        <v/>
      </c>
      <c r="V6" s="18">
        <f>IF($B6="","",IFERROR(S6/M6/H6,""))</f>
        <v/>
      </c>
      <c r="W6" s="20">
        <f>IF($B6="","",IFERROR(ROUND(U6-V6,6),""))</f>
        <v/>
      </c>
      <c r="X6" s="6">
        <f>IF($B6="","",IF(OR(K6="ERRO",W6&lt;&gt;0),"NÃO PUBLICAR",IF(P6&gt;1,"VERIFICAR: desempenho &gt; 100%","OK: as duas vias fecham")))</f>
        <v/>
      </c>
      <c r="Y6" s="15">
        <f>IF($B6="","",I6)</f>
        <v/>
      </c>
      <c r="Z6" s="15">
        <f>IF($B6="","",J6-N6/M6)</f>
        <v/>
      </c>
      <c r="AA6" s="15">
        <f>IF($B6="","",(Q6+R6)/M6)</f>
        <v/>
      </c>
      <c r="AB6" s="15">
        <f>IF($B6="","",S6/M6)</f>
        <v/>
      </c>
      <c r="AC6" s="15">
        <f>IF($B6="","",Y6+Z6+AA6+AB6)</f>
        <v/>
      </c>
      <c r="AD6" s="15">
        <f>IF($B6="","",AE6/M6)</f>
        <v/>
      </c>
      <c r="AE6" s="19">
        <f>IF($B6="","",INDEX(AP_ARR,MATCH($A6,AP_FECH,0)))</f>
        <v/>
      </c>
    </row>
    <row r="7">
      <c r="A7" s="12" t="n">
        <v>2</v>
      </c>
      <c r="B7" s="17">
        <f>IFERROR(INDEX(AP_DATA,MATCH($A7,AP_FECH,0)),"")</f>
        <v/>
      </c>
      <c r="C7" s="6">
        <f>IFERROR(INDEX(AP_TURNO,MATCH($A7,AP_FECH,0)),"")</f>
        <v/>
      </c>
      <c r="D7" s="6">
        <f>IFERROR(INDEX(AP_EQ,MATCH($A7,AP_FECH,0)),"")</f>
        <v/>
      </c>
      <c r="E7" s="12">
        <f>IF($B7="","",VLOOKUP($D7,CAD,5,FALSE))</f>
        <v/>
      </c>
      <c r="F7" s="12">
        <f>IF($B7="","",VLOOKUP($D7,CAD,5,FALSE)-VLOOKUP($D7,CAD,10,FALSE))</f>
        <v/>
      </c>
      <c r="G7" s="15">
        <f>IF($B7="","",SUMIFS(AP_DUR,AP_DATA,$B7,AP_TURNO,$C7,AP_EQ,$D7,AP_CLASSE,"Planejada"))</f>
        <v/>
      </c>
      <c r="H7" s="15">
        <f>IF($B7="","",E7-F7-G7)</f>
        <v/>
      </c>
      <c r="I7" s="15">
        <f>IF($B7="","",SUMIFS(AP_DUR,AP_DATA,$B7,AP_TURNO,$C7,AP_EQ,$D7,AP_CLASSE,"Não planejada"))</f>
        <v/>
      </c>
      <c r="J7" s="15">
        <f>IF($B7="","",H7-I7)</f>
        <v/>
      </c>
      <c r="K7" s="6">
        <f>IF($B7="","",IF(I7&gt;H7,"ERRO",""))</f>
        <v/>
      </c>
      <c r="L7" s="18">
        <f>IF($B7="","",IFERROR(J7/H7,""))</f>
        <v/>
      </c>
      <c r="M7" s="15">
        <f>IF($B7="","",VLOOKUP($D7,CAD,3,FALSE))</f>
        <v/>
      </c>
      <c r="N7" s="19">
        <f>IF($B7="","",INDEX(AP_PROD,MATCH($A7,AP_FECH,0)))</f>
        <v/>
      </c>
      <c r="O7" s="19">
        <f>IF($B7="","",J7*M7)</f>
        <v/>
      </c>
      <c r="P7" s="18">
        <f>IF($B7="","",IFERROR(N7/O7,""))</f>
        <v/>
      </c>
      <c r="Q7" s="19">
        <f>IF($B7="","",INDEX(AP_REF,MATCH($A7,AP_FECH,0)))</f>
        <v/>
      </c>
      <c r="R7" s="19">
        <f>IF($B7="","",INDEX(AP_RET,MATCH($A7,AP_FECH,0)))</f>
        <v/>
      </c>
      <c r="S7" s="19">
        <f>IF($B7="","",N7-Q7-R7)</f>
        <v/>
      </c>
      <c r="T7" s="18">
        <f>IF($B7="","",IFERROR(S7/N7,""))</f>
        <v/>
      </c>
      <c r="U7" s="18">
        <f>IF($B7="","",IFERROR(L7*P7*T7,""))</f>
        <v/>
      </c>
      <c r="V7" s="18">
        <f>IF($B7="","",IFERROR(S7/M7/H7,""))</f>
        <v/>
      </c>
      <c r="W7" s="20">
        <f>IF($B7="","",IFERROR(ROUND(U7-V7,6),""))</f>
        <v/>
      </c>
      <c r="X7" s="6">
        <f>IF($B7="","",IF(OR(K7="ERRO",W7&lt;&gt;0),"NÃO PUBLICAR",IF(P7&gt;1,"VERIFICAR: desempenho &gt; 100%","OK: as duas vias fecham")))</f>
        <v/>
      </c>
      <c r="Y7" s="15">
        <f>IF($B7="","",I7)</f>
        <v/>
      </c>
      <c r="Z7" s="15">
        <f>IF($B7="","",J7-N7/M7)</f>
        <v/>
      </c>
      <c r="AA7" s="15">
        <f>IF($B7="","",(Q7+R7)/M7)</f>
        <v/>
      </c>
      <c r="AB7" s="15">
        <f>IF($B7="","",S7/M7)</f>
        <v/>
      </c>
      <c r="AC7" s="15">
        <f>IF($B7="","",Y7+Z7+AA7+AB7)</f>
        <v/>
      </c>
      <c r="AD7" s="15">
        <f>IF($B7="","",AE7/M7)</f>
        <v/>
      </c>
      <c r="AE7" s="19">
        <f>IF($B7="","",INDEX(AP_ARR,MATCH($A7,AP_FECH,0)))</f>
        <v/>
      </c>
    </row>
    <row r="8">
      <c r="A8" s="12" t="n">
        <v>3</v>
      </c>
      <c r="B8" s="17">
        <f>IFERROR(INDEX(AP_DATA,MATCH($A8,AP_FECH,0)),"")</f>
        <v/>
      </c>
      <c r="C8" s="6">
        <f>IFERROR(INDEX(AP_TURNO,MATCH($A8,AP_FECH,0)),"")</f>
        <v/>
      </c>
      <c r="D8" s="6">
        <f>IFERROR(INDEX(AP_EQ,MATCH($A8,AP_FECH,0)),"")</f>
        <v/>
      </c>
      <c r="E8" s="12">
        <f>IF($B8="","",VLOOKUP($D8,CAD,5,FALSE))</f>
        <v/>
      </c>
      <c r="F8" s="12">
        <f>IF($B8="","",VLOOKUP($D8,CAD,5,FALSE)-VLOOKUP($D8,CAD,10,FALSE))</f>
        <v/>
      </c>
      <c r="G8" s="15">
        <f>IF($B8="","",SUMIFS(AP_DUR,AP_DATA,$B8,AP_TURNO,$C8,AP_EQ,$D8,AP_CLASSE,"Planejada"))</f>
        <v/>
      </c>
      <c r="H8" s="15">
        <f>IF($B8="","",E8-F8-G8)</f>
        <v/>
      </c>
      <c r="I8" s="15">
        <f>IF($B8="","",SUMIFS(AP_DUR,AP_DATA,$B8,AP_TURNO,$C8,AP_EQ,$D8,AP_CLASSE,"Não planejada"))</f>
        <v/>
      </c>
      <c r="J8" s="15">
        <f>IF($B8="","",H8-I8)</f>
        <v/>
      </c>
      <c r="K8" s="6">
        <f>IF($B8="","",IF(I8&gt;H8,"ERRO",""))</f>
        <v/>
      </c>
      <c r="L8" s="18">
        <f>IF($B8="","",IFERROR(J8/H8,""))</f>
        <v/>
      </c>
      <c r="M8" s="15">
        <f>IF($B8="","",VLOOKUP($D8,CAD,3,FALSE))</f>
        <v/>
      </c>
      <c r="N8" s="19">
        <f>IF($B8="","",INDEX(AP_PROD,MATCH($A8,AP_FECH,0)))</f>
        <v/>
      </c>
      <c r="O8" s="19">
        <f>IF($B8="","",J8*M8)</f>
        <v/>
      </c>
      <c r="P8" s="18">
        <f>IF($B8="","",IFERROR(N8/O8,""))</f>
        <v/>
      </c>
      <c r="Q8" s="19">
        <f>IF($B8="","",INDEX(AP_REF,MATCH($A8,AP_FECH,0)))</f>
        <v/>
      </c>
      <c r="R8" s="19">
        <f>IF($B8="","",INDEX(AP_RET,MATCH($A8,AP_FECH,0)))</f>
        <v/>
      </c>
      <c r="S8" s="19">
        <f>IF($B8="","",N8-Q8-R8)</f>
        <v/>
      </c>
      <c r="T8" s="18">
        <f>IF($B8="","",IFERROR(S8/N8,""))</f>
        <v/>
      </c>
      <c r="U8" s="18">
        <f>IF($B8="","",IFERROR(L8*P8*T8,""))</f>
        <v/>
      </c>
      <c r="V8" s="18">
        <f>IF($B8="","",IFERROR(S8/M8/H8,""))</f>
        <v/>
      </c>
      <c r="W8" s="20">
        <f>IF($B8="","",IFERROR(ROUND(U8-V8,6),""))</f>
        <v/>
      </c>
      <c r="X8" s="6">
        <f>IF($B8="","",IF(OR(K8="ERRO",W8&lt;&gt;0),"NÃO PUBLICAR",IF(P8&gt;1,"VERIFICAR: desempenho &gt; 100%","OK: as duas vias fecham")))</f>
        <v/>
      </c>
      <c r="Y8" s="15">
        <f>IF($B8="","",I8)</f>
        <v/>
      </c>
      <c r="Z8" s="15">
        <f>IF($B8="","",J8-N8/M8)</f>
        <v/>
      </c>
      <c r="AA8" s="15">
        <f>IF($B8="","",(Q8+R8)/M8)</f>
        <v/>
      </c>
      <c r="AB8" s="15">
        <f>IF($B8="","",S8/M8)</f>
        <v/>
      </c>
      <c r="AC8" s="15">
        <f>IF($B8="","",Y8+Z8+AA8+AB8)</f>
        <v/>
      </c>
      <c r="AD8" s="15">
        <f>IF($B8="","",AE8/M8)</f>
        <v/>
      </c>
      <c r="AE8" s="19">
        <f>IF($B8="","",INDEX(AP_ARR,MATCH($A8,AP_FECH,0)))</f>
        <v/>
      </c>
    </row>
    <row r="9">
      <c r="A9" s="12" t="n">
        <v>4</v>
      </c>
      <c r="B9" s="17">
        <f>IFERROR(INDEX(AP_DATA,MATCH($A9,AP_FECH,0)),"")</f>
        <v/>
      </c>
      <c r="C9" s="6">
        <f>IFERROR(INDEX(AP_TURNO,MATCH($A9,AP_FECH,0)),"")</f>
        <v/>
      </c>
      <c r="D9" s="6">
        <f>IFERROR(INDEX(AP_EQ,MATCH($A9,AP_FECH,0)),"")</f>
        <v/>
      </c>
      <c r="E9" s="12">
        <f>IF($B9="","",VLOOKUP($D9,CAD,5,FALSE))</f>
        <v/>
      </c>
      <c r="F9" s="12">
        <f>IF($B9="","",VLOOKUP($D9,CAD,5,FALSE)-VLOOKUP($D9,CAD,10,FALSE))</f>
        <v/>
      </c>
      <c r="G9" s="15">
        <f>IF($B9="","",SUMIFS(AP_DUR,AP_DATA,$B9,AP_TURNO,$C9,AP_EQ,$D9,AP_CLASSE,"Planejada"))</f>
        <v/>
      </c>
      <c r="H9" s="15">
        <f>IF($B9="","",E9-F9-G9)</f>
        <v/>
      </c>
      <c r="I9" s="15">
        <f>IF($B9="","",SUMIFS(AP_DUR,AP_DATA,$B9,AP_TURNO,$C9,AP_EQ,$D9,AP_CLASSE,"Não planejada"))</f>
        <v/>
      </c>
      <c r="J9" s="15">
        <f>IF($B9="","",H9-I9)</f>
        <v/>
      </c>
      <c r="K9" s="6">
        <f>IF($B9="","",IF(I9&gt;H9,"ERRO",""))</f>
        <v/>
      </c>
      <c r="L9" s="18">
        <f>IF($B9="","",IFERROR(J9/H9,""))</f>
        <v/>
      </c>
      <c r="M9" s="15">
        <f>IF($B9="","",VLOOKUP($D9,CAD,3,FALSE))</f>
        <v/>
      </c>
      <c r="N9" s="19">
        <f>IF($B9="","",INDEX(AP_PROD,MATCH($A9,AP_FECH,0)))</f>
        <v/>
      </c>
      <c r="O9" s="19">
        <f>IF($B9="","",J9*M9)</f>
        <v/>
      </c>
      <c r="P9" s="18">
        <f>IF($B9="","",IFERROR(N9/O9,""))</f>
        <v/>
      </c>
      <c r="Q9" s="19">
        <f>IF($B9="","",INDEX(AP_REF,MATCH($A9,AP_FECH,0)))</f>
        <v/>
      </c>
      <c r="R9" s="19">
        <f>IF($B9="","",INDEX(AP_RET,MATCH($A9,AP_FECH,0)))</f>
        <v/>
      </c>
      <c r="S9" s="19">
        <f>IF($B9="","",N9-Q9-R9)</f>
        <v/>
      </c>
      <c r="T9" s="18">
        <f>IF($B9="","",IFERROR(S9/N9,""))</f>
        <v/>
      </c>
      <c r="U9" s="18">
        <f>IF($B9="","",IFERROR(L9*P9*T9,""))</f>
        <v/>
      </c>
      <c r="V9" s="18">
        <f>IF($B9="","",IFERROR(S9/M9/H9,""))</f>
        <v/>
      </c>
      <c r="W9" s="20">
        <f>IF($B9="","",IFERROR(ROUND(U9-V9,6),""))</f>
        <v/>
      </c>
      <c r="X9" s="6">
        <f>IF($B9="","",IF(OR(K9="ERRO",W9&lt;&gt;0),"NÃO PUBLICAR",IF(P9&gt;1,"VERIFICAR: desempenho &gt; 100%","OK: as duas vias fecham")))</f>
        <v/>
      </c>
      <c r="Y9" s="15">
        <f>IF($B9="","",I9)</f>
        <v/>
      </c>
      <c r="Z9" s="15">
        <f>IF($B9="","",J9-N9/M9)</f>
        <v/>
      </c>
      <c r="AA9" s="15">
        <f>IF($B9="","",(Q9+R9)/M9)</f>
        <v/>
      </c>
      <c r="AB9" s="15">
        <f>IF($B9="","",S9/M9)</f>
        <v/>
      </c>
      <c r="AC9" s="15">
        <f>IF($B9="","",Y9+Z9+AA9+AB9)</f>
        <v/>
      </c>
      <c r="AD9" s="15">
        <f>IF($B9="","",AE9/M9)</f>
        <v/>
      </c>
      <c r="AE9" s="19">
        <f>IF($B9="","",INDEX(AP_ARR,MATCH($A9,AP_FECH,0)))</f>
        <v/>
      </c>
    </row>
    <row r="10">
      <c r="A10" s="12" t="n">
        <v>5</v>
      </c>
      <c r="B10" s="17">
        <f>IFERROR(INDEX(AP_DATA,MATCH($A10,AP_FECH,0)),"")</f>
        <v/>
      </c>
      <c r="C10" s="6">
        <f>IFERROR(INDEX(AP_TURNO,MATCH($A10,AP_FECH,0)),"")</f>
        <v/>
      </c>
      <c r="D10" s="6">
        <f>IFERROR(INDEX(AP_EQ,MATCH($A10,AP_FECH,0)),"")</f>
        <v/>
      </c>
      <c r="E10" s="12">
        <f>IF($B10="","",VLOOKUP($D10,CAD,5,FALSE))</f>
        <v/>
      </c>
      <c r="F10" s="12">
        <f>IF($B10="","",VLOOKUP($D10,CAD,5,FALSE)-VLOOKUP($D10,CAD,10,FALSE))</f>
        <v/>
      </c>
      <c r="G10" s="15">
        <f>IF($B10="","",SUMIFS(AP_DUR,AP_DATA,$B10,AP_TURNO,$C10,AP_EQ,$D10,AP_CLASSE,"Planejada"))</f>
        <v/>
      </c>
      <c r="H10" s="15">
        <f>IF($B10="","",E10-F10-G10)</f>
        <v/>
      </c>
      <c r="I10" s="15">
        <f>IF($B10="","",SUMIFS(AP_DUR,AP_DATA,$B10,AP_TURNO,$C10,AP_EQ,$D10,AP_CLASSE,"Não planejada"))</f>
        <v/>
      </c>
      <c r="J10" s="15">
        <f>IF($B10="","",H10-I10)</f>
        <v/>
      </c>
      <c r="K10" s="6">
        <f>IF($B10="","",IF(I10&gt;H10,"ERRO",""))</f>
        <v/>
      </c>
      <c r="L10" s="18">
        <f>IF($B10="","",IFERROR(J10/H10,""))</f>
        <v/>
      </c>
      <c r="M10" s="15">
        <f>IF($B10="","",VLOOKUP($D10,CAD,3,FALSE))</f>
        <v/>
      </c>
      <c r="N10" s="19">
        <f>IF($B10="","",INDEX(AP_PROD,MATCH($A10,AP_FECH,0)))</f>
        <v/>
      </c>
      <c r="O10" s="19">
        <f>IF($B10="","",J10*M10)</f>
        <v/>
      </c>
      <c r="P10" s="18">
        <f>IF($B10="","",IFERROR(N10/O10,""))</f>
        <v/>
      </c>
      <c r="Q10" s="19">
        <f>IF($B10="","",INDEX(AP_REF,MATCH($A10,AP_FECH,0)))</f>
        <v/>
      </c>
      <c r="R10" s="19">
        <f>IF($B10="","",INDEX(AP_RET,MATCH($A10,AP_FECH,0)))</f>
        <v/>
      </c>
      <c r="S10" s="19">
        <f>IF($B10="","",N10-Q10-R10)</f>
        <v/>
      </c>
      <c r="T10" s="18">
        <f>IF($B10="","",IFERROR(S10/N10,""))</f>
        <v/>
      </c>
      <c r="U10" s="18">
        <f>IF($B10="","",IFERROR(L10*P10*T10,""))</f>
        <v/>
      </c>
      <c r="V10" s="18">
        <f>IF($B10="","",IFERROR(S10/M10/H10,""))</f>
        <v/>
      </c>
      <c r="W10" s="20">
        <f>IF($B10="","",IFERROR(ROUND(U10-V10,6),""))</f>
        <v/>
      </c>
      <c r="X10" s="6">
        <f>IF($B10="","",IF(OR(K10="ERRO",W10&lt;&gt;0),"NÃO PUBLICAR",IF(P10&gt;1,"VERIFICAR: desempenho &gt; 100%","OK: as duas vias fecham")))</f>
        <v/>
      </c>
      <c r="Y10" s="15">
        <f>IF($B10="","",I10)</f>
        <v/>
      </c>
      <c r="Z10" s="15">
        <f>IF($B10="","",J10-N10/M10)</f>
        <v/>
      </c>
      <c r="AA10" s="15">
        <f>IF($B10="","",(Q10+R10)/M10)</f>
        <v/>
      </c>
      <c r="AB10" s="15">
        <f>IF($B10="","",S10/M10)</f>
        <v/>
      </c>
      <c r="AC10" s="15">
        <f>IF($B10="","",Y10+Z10+AA10+AB10)</f>
        <v/>
      </c>
      <c r="AD10" s="15">
        <f>IF($B10="","",AE10/M10)</f>
        <v/>
      </c>
      <c r="AE10" s="19">
        <f>IF($B10="","",INDEX(AP_ARR,MATCH($A10,AP_FECH,0)))</f>
        <v/>
      </c>
    </row>
    <row r="11">
      <c r="A11" s="12" t="n">
        <v>6</v>
      </c>
      <c r="B11" s="17">
        <f>IFERROR(INDEX(AP_DATA,MATCH($A11,AP_FECH,0)),"")</f>
        <v/>
      </c>
      <c r="C11" s="6">
        <f>IFERROR(INDEX(AP_TURNO,MATCH($A11,AP_FECH,0)),"")</f>
        <v/>
      </c>
      <c r="D11" s="6">
        <f>IFERROR(INDEX(AP_EQ,MATCH($A11,AP_FECH,0)),"")</f>
        <v/>
      </c>
      <c r="E11" s="12">
        <f>IF($B11="","",VLOOKUP($D11,CAD,5,FALSE))</f>
        <v/>
      </c>
      <c r="F11" s="12">
        <f>IF($B11="","",VLOOKUP($D11,CAD,5,FALSE)-VLOOKUP($D11,CAD,10,FALSE))</f>
        <v/>
      </c>
      <c r="G11" s="15">
        <f>IF($B11="","",SUMIFS(AP_DUR,AP_DATA,$B11,AP_TURNO,$C11,AP_EQ,$D11,AP_CLASSE,"Planejada"))</f>
        <v/>
      </c>
      <c r="H11" s="15">
        <f>IF($B11="","",E11-F11-G11)</f>
        <v/>
      </c>
      <c r="I11" s="15">
        <f>IF($B11="","",SUMIFS(AP_DUR,AP_DATA,$B11,AP_TURNO,$C11,AP_EQ,$D11,AP_CLASSE,"Não planejada"))</f>
        <v/>
      </c>
      <c r="J11" s="15">
        <f>IF($B11="","",H11-I11)</f>
        <v/>
      </c>
      <c r="K11" s="6">
        <f>IF($B11="","",IF(I11&gt;H11,"ERRO",""))</f>
        <v/>
      </c>
      <c r="L11" s="18">
        <f>IF($B11="","",IFERROR(J11/H11,""))</f>
        <v/>
      </c>
      <c r="M11" s="15">
        <f>IF($B11="","",VLOOKUP($D11,CAD,3,FALSE))</f>
        <v/>
      </c>
      <c r="N11" s="19">
        <f>IF($B11="","",INDEX(AP_PROD,MATCH($A11,AP_FECH,0)))</f>
        <v/>
      </c>
      <c r="O11" s="19">
        <f>IF($B11="","",J11*M11)</f>
        <v/>
      </c>
      <c r="P11" s="18">
        <f>IF($B11="","",IFERROR(N11/O11,""))</f>
        <v/>
      </c>
      <c r="Q11" s="19">
        <f>IF($B11="","",INDEX(AP_REF,MATCH($A11,AP_FECH,0)))</f>
        <v/>
      </c>
      <c r="R11" s="19">
        <f>IF($B11="","",INDEX(AP_RET,MATCH($A11,AP_FECH,0)))</f>
        <v/>
      </c>
      <c r="S11" s="19">
        <f>IF($B11="","",N11-Q11-R11)</f>
        <v/>
      </c>
      <c r="T11" s="18">
        <f>IF($B11="","",IFERROR(S11/N11,""))</f>
        <v/>
      </c>
      <c r="U11" s="18">
        <f>IF($B11="","",IFERROR(L11*P11*T11,""))</f>
        <v/>
      </c>
      <c r="V11" s="18">
        <f>IF($B11="","",IFERROR(S11/M11/H11,""))</f>
        <v/>
      </c>
      <c r="W11" s="20">
        <f>IF($B11="","",IFERROR(ROUND(U11-V11,6),""))</f>
        <v/>
      </c>
      <c r="X11" s="6">
        <f>IF($B11="","",IF(OR(K11="ERRO",W11&lt;&gt;0),"NÃO PUBLICAR",IF(P11&gt;1,"VERIFICAR: desempenho &gt; 100%","OK: as duas vias fecham")))</f>
        <v/>
      </c>
      <c r="Y11" s="15">
        <f>IF($B11="","",I11)</f>
        <v/>
      </c>
      <c r="Z11" s="15">
        <f>IF($B11="","",J11-N11/M11)</f>
        <v/>
      </c>
      <c r="AA11" s="15">
        <f>IF($B11="","",(Q11+R11)/M11)</f>
        <v/>
      </c>
      <c r="AB11" s="15">
        <f>IF($B11="","",S11/M11)</f>
        <v/>
      </c>
      <c r="AC11" s="15">
        <f>IF($B11="","",Y11+Z11+AA11+AB11)</f>
        <v/>
      </c>
      <c r="AD11" s="15">
        <f>IF($B11="","",AE11/M11)</f>
        <v/>
      </c>
      <c r="AE11" s="19">
        <f>IF($B11="","",INDEX(AP_ARR,MATCH($A11,AP_FECH,0)))</f>
        <v/>
      </c>
    </row>
    <row r="12">
      <c r="A12" s="12" t="n">
        <v>7</v>
      </c>
      <c r="B12" s="17">
        <f>IFERROR(INDEX(AP_DATA,MATCH($A12,AP_FECH,0)),"")</f>
        <v/>
      </c>
      <c r="C12" s="6">
        <f>IFERROR(INDEX(AP_TURNO,MATCH($A12,AP_FECH,0)),"")</f>
        <v/>
      </c>
      <c r="D12" s="6">
        <f>IFERROR(INDEX(AP_EQ,MATCH($A12,AP_FECH,0)),"")</f>
        <v/>
      </c>
      <c r="E12" s="12">
        <f>IF($B12="","",VLOOKUP($D12,CAD,5,FALSE))</f>
        <v/>
      </c>
      <c r="F12" s="12">
        <f>IF($B12="","",VLOOKUP($D12,CAD,5,FALSE)-VLOOKUP($D12,CAD,10,FALSE))</f>
        <v/>
      </c>
      <c r="G12" s="15">
        <f>IF($B12="","",SUMIFS(AP_DUR,AP_DATA,$B12,AP_TURNO,$C12,AP_EQ,$D12,AP_CLASSE,"Planejada"))</f>
        <v/>
      </c>
      <c r="H12" s="15">
        <f>IF($B12="","",E12-F12-G12)</f>
        <v/>
      </c>
      <c r="I12" s="15">
        <f>IF($B12="","",SUMIFS(AP_DUR,AP_DATA,$B12,AP_TURNO,$C12,AP_EQ,$D12,AP_CLASSE,"Não planejada"))</f>
        <v/>
      </c>
      <c r="J12" s="15">
        <f>IF($B12="","",H12-I12)</f>
        <v/>
      </c>
      <c r="K12" s="6">
        <f>IF($B12="","",IF(I12&gt;H12,"ERRO",""))</f>
        <v/>
      </c>
      <c r="L12" s="18">
        <f>IF($B12="","",IFERROR(J12/H12,""))</f>
        <v/>
      </c>
      <c r="M12" s="15">
        <f>IF($B12="","",VLOOKUP($D12,CAD,3,FALSE))</f>
        <v/>
      </c>
      <c r="N12" s="19">
        <f>IF($B12="","",INDEX(AP_PROD,MATCH($A12,AP_FECH,0)))</f>
        <v/>
      </c>
      <c r="O12" s="19">
        <f>IF($B12="","",J12*M12)</f>
        <v/>
      </c>
      <c r="P12" s="18">
        <f>IF($B12="","",IFERROR(N12/O12,""))</f>
        <v/>
      </c>
      <c r="Q12" s="19">
        <f>IF($B12="","",INDEX(AP_REF,MATCH($A12,AP_FECH,0)))</f>
        <v/>
      </c>
      <c r="R12" s="19">
        <f>IF($B12="","",INDEX(AP_RET,MATCH($A12,AP_FECH,0)))</f>
        <v/>
      </c>
      <c r="S12" s="19">
        <f>IF($B12="","",N12-Q12-R12)</f>
        <v/>
      </c>
      <c r="T12" s="18">
        <f>IF($B12="","",IFERROR(S12/N12,""))</f>
        <v/>
      </c>
      <c r="U12" s="18">
        <f>IF($B12="","",IFERROR(L12*P12*T12,""))</f>
        <v/>
      </c>
      <c r="V12" s="18">
        <f>IF($B12="","",IFERROR(S12/M12/H12,""))</f>
        <v/>
      </c>
      <c r="W12" s="20">
        <f>IF($B12="","",IFERROR(ROUND(U12-V12,6),""))</f>
        <v/>
      </c>
      <c r="X12" s="6">
        <f>IF($B12="","",IF(OR(K12="ERRO",W12&lt;&gt;0),"NÃO PUBLICAR",IF(P12&gt;1,"VERIFICAR: desempenho &gt; 100%","OK: as duas vias fecham")))</f>
        <v/>
      </c>
      <c r="Y12" s="15">
        <f>IF($B12="","",I12)</f>
        <v/>
      </c>
      <c r="Z12" s="15">
        <f>IF($B12="","",J12-N12/M12)</f>
        <v/>
      </c>
      <c r="AA12" s="15">
        <f>IF($B12="","",(Q12+R12)/M12)</f>
        <v/>
      </c>
      <c r="AB12" s="15">
        <f>IF($B12="","",S12/M12)</f>
        <v/>
      </c>
      <c r="AC12" s="15">
        <f>IF($B12="","",Y12+Z12+AA12+AB12)</f>
        <v/>
      </c>
      <c r="AD12" s="15">
        <f>IF($B12="","",AE12/M12)</f>
        <v/>
      </c>
      <c r="AE12" s="19">
        <f>IF($B12="","",INDEX(AP_ARR,MATCH($A12,AP_FECH,0)))</f>
        <v/>
      </c>
    </row>
    <row r="13">
      <c r="A13" s="12" t="n">
        <v>8</v>
      </c>
      <c r="B13" s="17">
        <f>IFERROR(INDEX(AP_DATA,MATCH($A13,AP_FECH,0)),"")</f>
        <v/>
      </c>
      <c r="C13" s="6">
        <f>IFERROR(INDEX(AP_TURNO,MATCH($A13,AP_FECH,0)),"")</f>
        <v/>
      </c>
      <c r="D13" s="6">
        <f>IFERROR(INDEX(AP_EQ,MATCH($A13,AP_FECH,0)),"")</f>
        <v/>
      </c>
      <c r="E13" s="12">
        <f>IF($B13="","",VLOOKUP($D13,CAD,5,FALSE))</f>
        <v/>
      </c>
      <c r="F13" s="12">
        <f>IF($B13="","",VLOOKUP($D13,CAD,5,FALSE)-VLOOKUP($D13,CAD,10,FALSE))</f>
        <v/>
      </c>
      <c r="G13" s="15">
        <f>IF($B13="","",SUMIFS(AP_DUR,AP_DATA,$B13,AP_TURNO,$C13,AP_EQ,$D13,AP_CLASSE,"Planejada"))</f>
        <v/>
      </c>
      <c r="H13" s="15">
        <f>IF($B13="","",E13-F13-G13)</f>
        <v/>
      </c>
      <c r="I13" s="15">
        <f>IF($B13="","",SUMIFS(AP_DUR,AP_DATA,$B13,AP_TURNO,$C13,AP_EQ,$D13,AP_CLASSE,"Não planejada"))</f>
        <v/>
      </c>
      <c r="J13" s="15">
        <f>IF($B13="","",H13-I13)</f>
        <v/>
      </c>
      <c r="K13" s="6">
        <f>IF($B13="","",IF(I13&gt;H13,"ERRO",""))</f>
        <v/>
      </c>
      <c r="L13" s="18">
        <f>IF($B13="","",IFERROR(J13/H13,""))</f>
        <v/>
      </c>
      <c r="M13" s="15">
        <f>IF($B13="","",VLOOKUP($D13,CAD,3,FALSE))</f>
        <v/>
      </c>
      <c r="N13" s="19">
        <f>IF($B13="","",INDEX(AP_PROD,MATCH($A13,AP_FECH,0)))</f>
        <v/>
      </c>
      <c r="O13" s="19">
        <f>IF($B13="","",J13*M13)</f>
        <v/>
      </c>
      <c r="P13" s="18">
        <f>IF($B13="","",IFERROR(N13/O13,""))</f>
        <v/>
      </c>
      <c r="Q13" s="19">
        <f>IF($B13="","",INDEX(AP_REF,MATCH($A13,AP_FECH,0)))</f>
        <v/>
      </c>
      <c r="R13" s="19">
        <f>IF($B13="","",INDEX(AP_RET,MATCH($A13,AP_FECH,0)))</f>
        <v/>
      </c>
      <c r="S13" s="19">
        <f>IF($B13="","",N13-Q13-R13)</f>
        <v/>
      </c>
      <c r="T13" s="18">
        <f>IF($B13="","",IFERROR(S13/N13,""))</f>
        <v/>
      </c>
      <c r="U13" s="18">
        <f>IF($B13="","",IFERROR(L13*P13*T13,""))</f>
        <v/>
      </c>
      <c r="V13" s="18">
        <f>IF($B13="","",IFERROR(S13/M13/H13,""))</f>
        <v/>
      </c>
      <c r="W13" s="20">
        <f>IF($B13="","",IFERROR(ROUND(U13-V13,6),""))</f>
        <v/>
      </c>
      <c r="X13" s="6">
        <f>IF($B13="","",IF(OR(K13="ERRO",W13&lt;&gt;0),"NÃO PUBLICAR",IF(P13&gt;1,"VERIFICAR: desempenho &gt; 100%","OK: as duas vias fecham")))</f>
        <v/>
      </c>
      <c r="Y13" s="15">
        <f>IF($B13="","",I13)</f>
        <v/>
      </c>
      <c r="Z13" s="15">
        <f>IF($B13="","",J13-N13/M13)</f>
        <v/>
      </c>
      <c r="AA13" s="15">
        <f>IF($B13="","",(Q13+R13)/M13)</f>
        <v/>
      </c>
      <c r="AB13" s="15">
        <f>IF($B13="","",S13/M13)</f>
        <v/>
      </c>
      <c r="AC13" s="15">
        <f>IF($B13="","",Y13+Z13+AA13+AB13)</f>
        <v/>
      </c>
      <c r="AD13" s="15">
        <f>IF($B13="","",AE13/M13)</f>
        <v/>
      </c>
      <c r="AE13" s="19">
        <f>IF($B13="","",INDEX(AP_ARR,MATCH($A13,AP_FECH,0)))</f>
        <v/>
      </c>
    </row>
    <row r="14">
      <c r="A14" s="12" t="n">
        <v>9</v>
      </c>
      <c r="B14" s="17">
        <f>IFERROR(INDEX(AP_DATA,MATCH($A14,AP_FECH,0)),"")</f>
        <v/>
      </c>
      <c r="C14" s="6">
        <f>IFERROR(INDEX(AP_TURNO,MATCH($A14,AP_FECH,0)),"")</f>
        <v/>
      </c>
      <c r="D14" s="6">
        <f>IFERROR(INDEX(AP_EQ,MATCH($A14,AP_FECH,0)),"")</f>
        <v/>
      </c>
      <c r="E14" s="12">
        <f>IF($B14="","",VLOOKUP($D14,CAD,5,FALSE))</f>
        <v/>
      </c>
      <c r="F14" s="12">
        <f>IF($B14="","",VLOOKUP($D14,CAD,5,FALSE)-VLOOKUP($D14,CAD,10,FALSE))</f>
        <v/>
      </c>
      <c r="G14" s="15">
        <f>IF($B14="","",SUMIFS(AP_DUR,AP_DATA,$B14,AP_TURNO,$C14,AP_EQ,$D14,AP_CLASSE,"Planejada"))</f>
        <v/>
      </c>
      <c r="H14" s="15">
        <f>IF($B14="","",E14-F14-G14)</f>
        <v/>
      </c>
      <c r="I14" s="15">
        <f>IF($B14="","",SUMIFS(AP_DUR,AP_DATA,$B14,AP_TURNO,$C14,AP_EQ,$D14,AP_CLASSE,"Não planejada"))</f>
        <v/>
      </c>
      <c r="J14" s="15">
        <f>IF($B14="","",H14-I14)</f>
        <v/>
      </c>
      <c r="K14" s="6">
        <f>IF($B14="","",IF(I14&gt;H14,"ERRO",""))</f>
        <v/>
      </c>
      <c r="L14" s="18">
        <f>IF($B14="","",IFERROR(J14/H14,""))</f>
        <v/>
      </c>
      <c r="M14" s="15">
        <f>IF($B14="","",VLOOKUP($D14,CAD,3,FALSE))</f>
        <v/>
      </c>
      <c r="N14" s="19">
        <f>IF($B14="","",INDEX(AP_PROD,MATCH($A14,AP_FECH,0)))</f>
        <v/>
      </c>
      <c r="O14" s="19">
        <f>IF($B14="","",J14*M14)</f>
        <v/>
      </c>
      <c r="P14" s="18">
        <f>IF($B14="","",IFERROR(N14/O14,""))</f>
        <v/>
      </c>
      <c r="Q14" s="19">
        <f>IF($B14="","",INDEX(AP_REF,MATCH($A14,AP_FECH,0)))</f>
        <v/>
      </c>
      <c r="R14" s="19">
        <f>IF($B14="","",INDEX(AP_RET,MATCH($A14,AP_FECH,0)))</f>
        <v/>
      </c>
      <c r="S14" s="19">
        <f>IF($B14="","",N14-Q14-R14)</f>
        <v/>
      </c>
      <c r="T14" s="18">
        <f>IF($B14="","",IFERROR(S14/N14,""))</f>
        <v/>
      </c>
      <c r="U14" s="18">
        <f>IF($B14="","",IFERROR(L14*P14*T14,""))</f>
        <v/>
      </c>
      <c r="V14" s="18">
        <f>IF($B14="","",IFERROR(S14/M14/H14,""))</f>
        <v/>
      </c>
      <c r="W14" s="20">
        <f>IF($B14="","",IFERROR(ROUND(U14-V14,6),""))</f>
        <v/>
      </c>
      <c r="X14" s="6">
        <f>IF($B14="","",IF(OR(K14="ERRO",W14&lt;&gt;0),"NÃO PUBLICAR",IF(P14&gt;1,"VERIFICAR: desempenho &gt; 100%","OK: as duas vias fecham")))</f>
        <v/>
      </c>
      <c r="Y14" s="15">
        <f>IF($B14="","",I14)</f>
        <v/>
      </c>
      <c r="Z14" s="15">
        <f>IF($B14="","",J14-N14/M14)</f>
        <v/>
      </c>
      <c r="AA14" s="15">
        <f>IF($B14="","",(Q14+R14)/M14)</f>
        <v/>
      </c>
      <c r="AB14" s="15">
        <f>IF($B14="","",S14/M14)</f>
        <v/>
      </c>
      <c r="AC14" s="15">
        <f>IF($B14="","",Y14+Z14+AA14+AB14)</f>
        <v/>
      </c>
      <c r="AD14" s="15">
        <f>IF($B14="","",AE14/M14)</f>
        <v/>
      </c>
      <c r="AE14" s="19">
        <f>IF($B14="","",INDEX(AP_ARR,MATCH($A14,AP_FECH,0)))</f>
        <v/>
      </c>
    </row>
    <row r="15">
      <c r="A15" s="12" t="n">
        <v>10</v>
      </c>
      <c r="B15" s="17">
        <f>IFERROR(INDEX(AP_DATA,MATCH($A15,AP_FECH,0)),"")</f>
        <v/>
      </c>
      <c r="C15" s="6">
        <f>IFERROR(INDEX(AP_TURNO,MATCH($A15,AP_FECH,0)),"")</f>
        <v/>
      </c>
      <c r="D15" s="6">
        <f>IFERROR(INDEX(AP_EQ,MATCH($A15,AP_FECH,0)),"")</f>
        <v/>
      </c>
      <c r="E15" s="12">
        <f>IF($B15="","",VLOOKUP($D15,CAD,5,FALSE))</f>
        <v/>
      </c>
      <c r="F15" s="12">
        <f>IF($B15="","",VLOOKUP($D15,CAD,5,FALSE)-VLOOKUP($D15,CAD,10,FALSE))</f>
        <v/>
      </c>
      <c r="G15" s="15">
        <f>IF($B15="","",SUMIFS(AP_DUR,AP_DATA,$B15,AP_TURNO,$C15,AP_EQ,$D15,AP_CLASSE,"Planejada"))</f>
        <v/>
      </c>
      <c r="H15" s="15">
        <f>IF($B15="","",E15-F15-G15)</f>
        <v/>
      </c>
      <c r="I15" s="15">
        <f>IF($B15="","",SUMIFS(AP_DUR,AP_DATA,$B15,AP_TURNO,$C15,AP_EQ,$D15,AP_CLASSE,"Não planejada"))</f>
        <v/>
      </c>
      <c r="J15" s="15">
        <f>IF($B15="","",H15-I15)</f>
        <v/>
      </c>
      <c r="K15" s="6">
        <f>IF($B15="","",IF(I15&gt;H15,"ERRO",""))</f>
        <v/>
      </c>
      <c r="L15" s="18">
        <f>IF($B15="","",IFERROR(J15/H15,""))</f>
        <v/>
      </c>
      <c r="M15" s="15">
        <f>IF($B15="","",VLOOKUP($D15,CAD,3,FALSE))</f>
        <v/>
      </c>
      <c r="N15" s="19">
        <f>IF($B15="","",INDEX(AP_PROD,MATCH($A15,AP_FECH,0)))</f>
        <v/>
      </c>
      <c r="O15" s="19">
        <f>IF($B15="","",J15*M15)</f>
        <v/>
      </c>
      <c r="P15" s="18">
        <f>IF($B15="","",IFERROR(N15/O15,""))</f>
        <v/>
      </c>
      <c r="Q15" s="19">
        <f>IF($B15="","",INDEX(AP_REF,MATCH($A15,AP_FECH,0)))</f>
        <v/>
      </c>
      <c r="R15" s="19">
        <f>IF($B15="","",INDEX(AP_RET,MATCH($A15,AP_FECH,0)))</f>
        <v/>
      </c>
      <c r="S15" s="19">
        <f>IF($B15="","",N15-Q15-R15)</f>
        <v/>
      </c>
      <c r="T15" s="18">
        <f>IF($B15="","",IFERROR(S15/N15,""))</f>
        <v/>
      </c>
      <c r="U15" s="18">
        <f>IF($B15="","",IFERROR(L15*P15*T15,""))</f>
        <v/>
      </c>
      <c r="V15" s="18">
        <f>IF($B15="","",IFERROR(S15/M15/H15,""))</f>
        <v/>
      </c>
      <c r="W15" s="20">
        <f>IF($B15="","",IFERROR(ROUND(U15-V15,6),""))</f>
        <v/>
      </c>
      <c r="X15" s="6">
        <f>IF($B15="","",IF(OR(K15="ERRO",W15&lt;&gt;0),"NÃO PUBLICAR",IF(P15&gt;1,"VERIFICAR: desempenho &gt; 100%","OK: as duas vias fecham")))</f>
        <v/>
      </c>
      <c r="Y15" s="15">
        <f>IF($B15="","",I15)</f>
        <v/>
      </c>
      <c r="Z15" s="15">
        <f>IF($B15="","",J15-N15/M15)</f>
        <v/>
      </c>
      <c r="AA15" s="15">
        <f>IF($B15="","",(Q15+R15)/M15)</f>
        <v/>
      </c>
      <c r="AB15" s="15">
        <f>IF($B15="","",S15/M15)</f>
        <v/>
      </c>
      <c r="AC15" s="15">
        <f>IF($B15="","",Y15+Z15+AA15+AB15)</f>
        <v/>
      </c>
      <c r="AD15" s="15">
        <f>IF($B15="","",AE15/M15)</f>
        <v/>
      </c>
      <c r="AE15" s="19">
        <f>IF($B15="","",INDEX(AP_ARR,MATCH($A15,AP_FECH,0)))</f>
        <v/>
      </c>
    </row>
    <row r="16">
      <c r="A16" s="12" t="n">
        <v>11</v>
      </c>
      <c r="B16" s="17">
        <f>IFERROR(INDEX(AP_DATA,MATCH($A16,AP_FECH,0)),"")</f>
        <v/>
      </c>
      <c r="C16" s="6">
        <f>IFERROR(INDEX(AP_TURNO,MATCH($A16,AP_FECH,0)),"")</f>
        <v/>
      </c>
      <c r="D16" s="6">
        <f>IFERROR(INDEX(AP_EQ,MATCH($A16,AP_FECH,0)),"")</f>
        <v/>
      </c>
      <c r="E16" s="12">
        <f>IF($B16="","",VLOOKUP($D16,CAD,5,FALSE))</f>
        <v/>
      </c>
      <c r="F16" s="12">
        <f>IF($B16="","",VLOOKUP($D16,CAD,5,FALSE)-VLOOKUP($D16,CAD,10,FALSE))</f>
        <v/>
      </c>
      <c r="G16" s="15">
        <f>IF($B16="","",SUMIFS(AP_DUR,AP_DATA,$B16,AP_TURNO,$C16,AP_EQ,$D16,AP_CLASSE,"Planejada"))</f>
        <v/>
      </c>
      <c r="H16" s="15">
        <f>IF($B16="","",E16-F16-G16)</f>
        <v/>
      </c>
      <c r="I16" s="15">
        <f>IF($B16="","",SUMIFS(AP_DUR,AP_DATA,$B16,AP_TURNO,$C16,AP_EQ,$D16,AP_CLASSE,"Não planejada"))</f>
        <v/>
      </c>
      <c r="J16" s="15">
        <f>IF($B16="","",H16-I16)</f>
        <v/>
      </c>
      <c r="K16" s="6">
        <f>IF($B16="","",IF(I16&gt;H16,"ERRO",""))</f>
        <v/>
      </c>
      <c r="L16" s="18">
        <f>IF($B16="","",IFERROR(J16/H16,""))</f>
        <v/>
      </c>
      <c r="M16" s="15">
        <f>IF($B16="","",VLOOKUP($D16,CAD,3,FALSE))</f>
        <v/>
      </c>
      <c r="N16" s="19">
        <f>IF($B16="","",INDEX(AP_PROD,MATCH($A16,AP_FECH,0)))</f>
        <v/>
      </c>
      <c r="O16" s="19">
        <f>IF($B16="","",J16*M16)</f>
        <v/>
      </c>
      <c r="P16" s="18">
        <f>IF($B16="","",IFERROR(N16/O16,""))</f>
        <v/>
      </c>
      <c r="Q16" s="19">
        <f>IF($B16="","",INDEX(AP_REF,MATCH($A16,AP_FECH,0)))</f>
        <v/>
      </c>
      <c r="R16" s="19">
        <f>IF($B16="","",INDEX(AP_RET,MATCH($A16,AP_FECH,0)))</f>
        <v/>
      </c>
      <c r="S16" s="19">
        <f>IF($B16="","",N16-Q16-R16)</f>
        <v/>
      </c>
      <c r="T16" s="18">
        <f>IF($B16="","",IFERROR(S16/N16,""))</f>
        <v/>
      </c>
      <c r="U16" s="18">
        <f>IF($B16="","",IFERROR(L16*P16*T16,""))</f>
        <v/>
      </c>
      <c r="V16" s="18">
        <f>IF($B16="","",IFERROR(S16/M16/H16,""))</f>
        <v/>
      </c>
      <c r="W16" s="20">
        <f>IF($B16="","",IFERROR(ROUND(U16-V16,6),""))</f>
        <v/>
      </c>
      <c r="X16" s="6">
        <f>IF($B16="","",IF(OR(K16="ERRO",W16&lt;&gt;0),"NÃO PUBLICAR",IF(P16&gt;1,"VERIFICAR: desempenho &gt; 100%","OK: as duas vias fecham")))</f>
        <v/>
      </c>
      <c r="Y16" s="15">
        <f>IF($B16="","",I16)</f>
        <v/>
      </c>
      <c r="Z16" s="15">
        <f>IF($B16="","",J16-N16/M16)</f>
        <v/>
      </c>
      <c r="AA16" s="15">
        <f>IF($B16="","",(Q16+R16)/M16)</f>
        <v/>
      </c>
      <c r="AB16" s="15">
        <f>IF($B16="","",S16/M16)</f>
        <v/>
      </c>
      <c r="AC16" s="15">
        <f>IF($B16="","",Y16+Z16+AA16+AB16)</f>
        <v/>
      </c>
      <c r="AD16" s="15">
        <f>IF($B16="","",AE16/M16)</f>
        <v/>
      </c>
      <c r="AE16" s="19">
        <f>IF($B16="","",INDEX(AP_ARR,MATCH($A16,AP_FECH,0)))</f>
        <v/>
      </c>
    </row>
    <row r="17">
      <c r="A17" s="12" t="n">
        <v>12</v>
      </c>
      <c r="B17" s="17">
        <f>IFERROR(INDEX(AP_DATA,MATCH($A17,AP_FECH,0)),"")</f>
        <v/>
      </c>
      <c r="C17" s="6">
        <f>IFERROR(INDEX(AP_TURNO,MATCH($A17,AP_FECH,0)),"")</f>
        <v/>
      </c>
      <c r="D17" s="6">
        <f>IFERROR(INDEX(AP_EQ,MATCH($A17,AP_FECH,0)),"")</f>
        <v/>
      </c>
      <c r="E17" s="12">
        <f>IF($B17="","",VLOOKUP($D17,CAD,5,FALSE))</f>
        <v/>
      </c>
      <c r="F17" s="12">
        <f>IF($B17="","",VLOOKUP($D17,CAD,5,FALSE)-VLOOKUP($D17,CAD,10,FALSE))</f>
        <v/>
      </c>
      <c r="G17" s="15">
        <f>IF($B17="","",SUMIFS(AP_DUR,AP_DATA,$B17,AP_TURNO,$C17,AP_EQ,$D17,AP_CLASSE,"Planejada"))</f>
        <v/>
      </c>
      <c r="H17" s="15">
        <f>IF($B17="","",E17-F17-G17)</f>
        <v/>
      </c>
      <c r="I17" s="15">
        <f>IF($B17="","",SUMIFS(AP_DUR,AP_DATA,$B17,AP_TURNO,$C17,AP_EQ,$D17,AP_CLASSE,"Não planejada"))</f>
        <v/>
      </c>
      <c r="J17" s="15">
        <f>IF($B17="","",H17-I17)</f>
        <v/>
      </c>
      <c r="K17" s="6">
        <f>IF($B17="","",IF(I17&gt;H17,"ERRO",""))</f>
        <v/>
      </c>
      <c r="L17" s="18">
        <f>IF($B17="","",IFERROR(J17/H17,""))</f>
        <v/>
      </c>
      <c r="M17" s="15">
        <f>IF($B17="","",VLOOKUP($D17,CAD,3,FALSE))</f>
        <v/>
      </c>
      <c r="N17" s="19">
        <f>IF($B17="","",INDEX(AP_PROD,MATCH($A17,AP_FECH,0)))</f>
        <v/>
      </c>
      <c r="O17" s="19">
        <f>IF($B17="","",J17*M17)</f>
        <v/>
      </c>
      <c r="P17" s="18">
        <f>IF($B17="","",IFERROR(N17/O17,""))</f>
        <v/>
      </c>
      <c r="Q17" s="19">
        <f>IF($B17="","",INDEX(AP_REF,MATCH($A17,AP_FECH,0)))</f>
        <v/>
      </c>
      <c r="R17" s="19">
        <f>IF($B17="","",INDEX(AP_RET,MATCH($A17,AP_FECH,0)))</f>
        <v/>
      </c>
      <c r="S17" s="19">
        <f>IF($B17="","",N17-Q17-R17)</f>
        <v/>
      </c>
      <c r="T17" s="18">
        <f>IF($B17="","",IFERROR(S17/N17,""))</f>
        <v/>
      </c>
      <c r="U17" s="18">
        <f>IF($B17="","",IFERROR(L17*P17*T17,""))</f>
        <v/>
      </c>
      <c r="V17" s="18">
        <f>IF($B17="","",IFERROR(S17/M17/H17,""))</f>
        <v/>
      </c>
      <c r="W17" s="20">
        <f>IF($B17="","",IFERROR(ROUND(U17-V17,6),""))</f>
        <v/>
      </c>
      <c r="X17" s="6">
        <f>IF($B17="","",IF(OR(K17="ERRO",W17&lt;&gt;0),"NÃO PUBLICAR",IF(P17&gt;1,"VERIFICAR: desempenho &gt; 100%","OK: as duas vias fecham")))</f>
        <v/>
      </c>
      <c r="Y17" s="15">
        <f>IF($B17="","",I17)</f>
        <v/>
      </c>
      <c r="Z17" s="15">
        <f>IF($B17="","",J17-N17/M17)</f>
        <v/>
      </c>
      <c r="AA17" s="15">
        <f>IF($B17="","",(Q17+R17)/M17)</f>
        <v/>
      </c>
      <c r="AB17" s="15">
        <f>IF($B17="","",S17/M17)</f>
        <v/>
      </c>
      <c r="AC17" s="15">
        <f>IF($B17="","",Y17+Z17+AA17+AB17)</f>
        <v/>
      </c>
      <c r="AD17" s="15">
        <f>IF($B17="","",AE17/M17)</f>
        <v/>
      </c>
      <c r="AE17" s="19">
        <f>IF($B17="","",INDEX(AP_ARR,MATCH($A17,AP_FECH,0)))</f>
        <v/>
      </c>
    </row>
    <row r="18">
      <c r="A18" s="12" t="n">
        <v>13</v>
      </c>
      <c r="B18" s="17">
        <f>IFERROR(INDEX(AP_DATA,MATCH($A18,AP_FECH,0)),"")</f>
        <v/>
      </c>
      <c r="C18" s="6">
        <f>IFERROR(INDEX(AP_TURNO,MATCH($A18,AP_FECH,0)),"")</f>
        <v/>
      </c>
      <c r="D18" s="6">
        <f>IFERROR(INDEX(AP_EQ,MATCH($A18,AP_FECH,0)),"")</f>
        <v/>
      </c>
      <c r="E18" s="12">
        <f>IF($B18="","",VLOOKUP($D18,CAD,5,FALSE))</f>
        <v/>
      </c>
      <c r="F18" s="12">
        <f>IF($B18="","",VLOOKUP($D18,CAD,5,FALSE)-VLOOKUP($D18,CAD,10,FALSE))</f>
        <v/>
      </c>
      <c r="G18" s="15">
        <f>IF($B18="","",SUMIFS(AP_DUR,AP_DATA,$B18,AP_TURNO,$C18,AP_EQ,$D18,AP_CLASSE,"Planejada"))</f>
        <v/>
      </c>
      <c r="H18" s="15">
        <f>IF($B18="","",E18-F18-G18)</f>
        <v/>
      </c>
      <c r="I18" s="15">
        <f>IF($B18="","",SUMIFS(AP_DUR,AP_DATA,$B18,AP_TURNO,$C18,AP_EQ,$D18,AP_CLASSE,"Não planejada"))</f>
        <v/>
      </c>
      <c r="J18" s="15">
        <f>IF($B18="","",H18-I18)</f>
        <v/>
      </c>
      <c r="K18" s="6">
        <f>IF($B18="","",IF(I18&gt;H18,"ERRO",""))</f>
        <v/>
      </c>
      <c r="L18" s="18">
        <f>IF($B18="","",IFERROR(J18/H18,""))</f>
        <v/>
      </c>
      <c r="M18" s="15">
        <f>IF($B18="","",VLOOKUP($D18,CAD,3,FALSE))</f>
        <v/>
      </c>
      <c r="N18" s="19">
        <f>IF($B18="","",INDEX(AP_PROD,MATCH($A18,AP_FECH,0)))</f>
        <v/>
      </c>
      <c r="O18" s="19">
        <f>IF($B18="","",J18*M18)</f>
        <v/>
      </c>
      <c r="P18" s="18">
        <f>IF($B18="","",IFERROR(N18/O18,""))</f>
        <v/>
      </c>
      <c r="Q18" s="19">
        <f>IF($B18="","",INDEX(AP_REF,MATCH($A18,AP_FECH,0)))</f>
        <v/>
      </c>
      <c r="R18" s="19">
        <f>IF($B18="","",INDEX(AP_RET,MATCH($A18,AP_FECH,0)))</f>
        <v/>
      </c>
      <c r="S18" s="19">
        <f>IF($B18="","",N18-Q18-R18)</f>
        <v/>
      </c>
      <c r="T18" s="18">
        <f>IF($B18="","",IFERROR(S18/N18,""))</f>
        <v/>
      </c>
      <c r="U18" s="18">
        <f>IF($B18="","",IFERROR(L18*P18*T18,""))</f>
        <v/>
      </c>
      <c r="V18" s="18">
        <f>IF($B18="","",IFERROR(S18/M18/H18,""))</f>
        <v/>
      </c>
      <c r="W18" s="20">
        <f>IF($B18="","",IFERROR(ROUND(U18-V18,6),""))</f>
        <v/>
      </c>
      <c r="X18" s="6">
        <f>IF($B18="","",IF(OR(K18="ERRO",W18&lt;&gt;0),"NÃO PUBLICAR",IF(P18&gt;1,"VERIFICAR: desempenho &gt; 100%","OK: as duas vias fecham")))</f>
        <v/>
      </c>
      <c r="Y18" s="15">
        <f>IF($B18="","",I18)</f>
        <v/>
      </c>
      <c r="Z18" s="15">
        <f>IF($B18="","",J18-N18/M18)</f>
        <v/>
      </c>
      <c r="AA18" s="15">
        <f>IF($B18="","",(Q18+R18)/M18)</f>
        <v/>
      </c>
      <c r="AB18" s="15">
        <f>IF($B18="","",S18/M18)</f>
        <v/>
      </c>
      <c r="AC18" s="15">
        <f>IF($B18="","",Y18+Z18+AA18+AB18)</f>
        <v/>
      </c>
      <c r="AD18" s="15">
        <f>IF($B18="","",AE18/M18)</f>
        <v/>
      </c>
      <c r="AE18" s="19">
        <f>IF($B18="","",INDEX(AP_ARR,MATCH($A18,AP_FECH,0)))</f>
        <v/>
      </c>
    </row>
    <row r="19">
      <c r="A19" s="12" t="n">
        <v>14</v>
      </c>
      <c r="B19" s="17">
        <f>IFERROR(INDEX(AP_DATA,MATCH($A19,AP_FECH,0)),"")</f>
        <v/>
      </c>
      <c r="C19" s="6">
        <f>IFERROR(INDEX(AP_TURNO,MATCH($A19,AP_FECH,0)),"")</f>
        <v/>
      </c>
      <c r="D19" s="6">
        <f>IFERROR(INDEX(AP_EQ,MATCH($A19,AP_FECH,0)),"")</f>
        <v/>
      </c>
      <c r="E19" s="12">
        <f>IF($B19="","",VLOOKUP($D19,CAD,5,FALSE))</f>
        <v/>
      </c>
      <c r="F19" s="12">
        <f>IF($B19="","",VLOOKUP($D19,CAD,5,FALSE)-VLOOKUP($D19,CAD,10,FALSE))</f>
        <v/>
      </c>
      <c r="G19" s="15">
        <f>IF($B19="","",SUMIFS(AP_DUR,AP_DATA,$B19,AP_TURNO,$C19,AP_EQ,$D19,AP_CLASSE,"Planejada"))</f>
        <v/>
      </c>
      <c r="H19" s="15">
        <f>IF($B19="","",E19-F19-G19)</f>
        <v/>
      </c>
      <c r="I19" s="15">
        <f>IF($B19="","",SUMIFS(AP_DUR,AP_DATA,$B19,AP_TURNO,$C19,AP_EQ,$D19,AP_CLASSE,"Não planejada"))</f>
        <v/>
      </c>
      <c r="J19" s="15">
        <f>IF($B19="","",H19-I19)</f>
        <v/>
      </c>
      <c r="K19" s="6">
        <f>IF($B19="","",IF(I19&gt;H19,"ERRO",""))</f>
        <v/>
      </c>
      <c r="L19" s="18">
        <f>IF($B19="","",IFERROR(J19/H19,""))</f>
        <v/>
      </c>
      <c r="M19" s="15">
        <f>IF($B19="","",VLOOKUP($D19,CAD,3,FALSE))</f>
        <v/>
      </c>
      <c r="N19" s="19">
        <f>IF($B19="","",INDEX(AP_PROD,MATCH($A19,AP_FECH,0)))</f>
        <v/>
      </c>
      <c r="O19" s="19">
        <f>IF($B19="","",J19*M19)</f>
        <v/>
      </c>
      <c r="P19" s="18">
        <f>IF($B19="","",IFERROR(N19/O19,""))</f>
        <v/>
      </c>
      <c r="Q19" s="19">
        <f>IF($B19="","",INDEX(AP_REF,MATCH($A19,AP_FECH,0)))</f>
        <v/>
      </c>
      <c r="R19" s="19">
        <f>IF($B19="","",INDEX(AP_RET,MATCH($A19,AP_FECH,0)))</f>
        <v/>
      </c>
      <c r="S19" s="19">
        <f>IF($B19="","",N19-Q19-R19)</f>
        <v/>
      </c>
      <c r="T19" s="18">
        <f>IF($B19="","",IFERROR(S19/N19,""))</f>
        <v/>
      </c>
      <c r="U19" s="18">
        <f>IF($B19="","",IFERROR(L19*P19*T19,""))</f>
        <v/>
      </c>
      <c r="V19" s="18">
        <f>IF($B19="","",IFERROR(S19/M19/H19,""))</f>
        <v/>
      </c>
      <c r="W19" s="20">
        <f>IF($B19="","",IFERROR(ROUND(U19-V19,6),""))</f>
        <v/>
      </c>
      <c r="X19" s="6">
        <f>IF($B19="","",IF(OR(K19="ERRO",W19&lt;&gt;0),"NÃO PUBLICAR",IF(P19&gt;1,"VERIFICAR: desempenho &gt; 100%","OK: as duas vias fecham")))</f>
        <v/>
      </c>
      <c r="Y19" s="15">
        <f>IF($B19="","",I19)</f>
        <v/>
      </c>
      <c r="Z19" s="15">
        <f>IF($B19="","",J19-N19/M19)</f>
        <v/>
      </c>
      <c r="AA19" s="15">
        <f>IF($B19="","",(Q19+R19)/M19)</f>
        <v/>
      </c>
      <c r="AB19" s="15">
        <f>IF($B19="","",S19/M19)</f>
        <v/>
      </c>
      <c r="AC19" s="15">
        <f>IF($B19="","",Y19+Z19+AA19+AB19)</f>
        <v/>
      </c>
      <c r="AD19" s="15">
        <f>IF($B19="","",AE19/M19)</f>
        <v/>
      </c>
      <c r="AE19" s="19">
        <f>IF($B19="","",INDEX(AP_ARR,MATCH($A19,AP_FECH,0)))</f>
        <v/>
      </c>
    </row>
    <row r="20">
      <c r="A20" s="12" t="n">
        <v>15</v>
      </c>
      <c r="B20" s="17">
        <f>IFERROR(INDEX(AP_DATA,MATCH($A20,AP_FECH,0)),"")</f>
        <v/>
      </c>
      <c r="C20" s="6">
        <f>IFERROR(INDEX(AP_TURNO,MATCH($A20,AP_FECH,0)),"")</f>
        <v/>
      </c>
      <c r="D20" s="6">
        <f>IFERROR(INDEX(AP_EQ,MATCH($A20,AP_FECH,0)),"")</f>
        <v/>
      </c>
      <c r="E20" s="12">
        <f>IF($B20="","",VLOOKUP($D20,CAD,5,FALSE))</f>
        <v/>
      </c>
      <c r="F20" s="12">
        <f>IF($B20="","",VLOOKUP($D20,CAD,5,FALSE)-VLOOKUP($D20,CAD,10,FALSE))</f>
        <v/>
      </c>
      <c r="G20" s="15">
        <f>IF($B20="","",SUMIFS(AP_DUR,AP_DATA,$B20,AP_TURNO,$C20,AP_EQ,$D20,AP_CLASSE,"Planejada"))</f>
        <v/>
      </c>
      <c r="H20" s="15">
        <f>IF($B20="","",E20-F20-G20)</f>
        <v/>
      </c>
      <c r="I20" s="15">
        <f>IF($B20="","",SUMIFS(AP_DUR,AP_DATA,$B20,AP_TURNO,$C20,AP_EQ,$D20,AP_CLASSE,"Não planejada"))</f>
        <v/>
      </c>
      <c r="J20" s="15">
        <f>IF($B20="","",H20-I20)</f>
        <v/>
      </c>
      <c r="K20" s="6">
        <f>IF($B20="","",IF(I20&gt;H20,"ERRO",""))</f>
        <v/>
      </c>
      <c r="L20" s="18">
        <f>IF($B20="","",IFERROR(J20/H20,""))</f>
        <v/>
      </c>
      <c r="M20" s="15">
        <f>IF($B20="","",VLOOKUP($D20,CAD,3,FALSE))</f>
        <v/>
      </c>
      <c r="N20" s="19">
        <f>IF($B20="","",INDEX(AP_PROD,MATCH($A20,AP_FECH,0)))</f>
        <v/>
      </c>
      <c r="O20" s="19">
        <f>IF($B20="","",J20*M20)</f>
        <v/>
      </c>
      <c r="P20" s="18">
        <f>IF($B20="","",IFERROR(N20/O20,""))</f>
        <v/>
      </c>
      <c r="Q20" s="19">
        <f>IF($B20="","",INDEX(AP_REF,MATCH($A20,AP_FECH,0)))</f>
        <v/>
      </c>
      <c r="R20" s="19">
        <f>IF($B20="","",INDEX(AP_RET,MATCH($A20,AP_FECH,0)))</f>
        <v/>
      </c>
      <c r="S20" s="19">
        <f>IF($B20="","",N20-Q20-R20)</f>
        <v/>
      </c>
      <c r="T20" s="18">
        <f>IF($B20="","",IFERROR(S20/N20,""))</f>
        <v/>
      </c>
      <c r="U20" s="18">
        <f>IF($B20="","",IFERROR(L20*P20*T20,""))</f>
        <v/>
      </c>
      <c r="V20" s="18">
        <f>IF($B20="","",IFERROR(S20/M20/H20,""))</f>
        <v/>
      </c>
      <c r="W20" s="20">
        <f>IF($B20="","",IFERROR(ROUND(U20-V20,6),""))</f>
        <v/>
      </c>
      <c r="X20" s="6">
        <f>IF($B20="","",IF(OR(K20="ERRO",W20&lt;&gt;0),"NÃO PUBLICAR",IF(P20&gt;1,"VERIFICAR: desempenho &gt; 100%","OK: as duas vias fecham")))</f>
        <v/>
      </c>
      <c r="Y20" s="15">
        <f>IF($B20="","",I20)</f>
        <v/>
      </c>
      <c r="Z20" s="15">
        <f>IF($B20="","",J20-N20/M20)</f>
        <v/>
      </c>
      <c r="AA20" s="15">
        <f>IF($B20="","",(Q20+R20)/M20)</f>
        <v/>
      </c>
      <c r="AB20" s="15">
        <f>IF($B20="","",S20/M20)</f>
        <v/>
      </c>
      <c r="AC20" s="15">
        <f>IF($B20="","",Y20+Z20+AA20+AB20)</f>
        <v/>
      </c>
      <c r="AD20" s="15">
        <f>IF($B20="","",AE20/M20)</f>
        <v/>
      </c>
      <c r="AE20" s="19">
        <f>IF($B20="","",INDEX(AP_ARR,MATCH($A20,AP_FECH,0)))</f>
        <v/>
      </c>
    </row>
    <row r="21">
      <c r="A21" s="12" t="n">
        <v>16</v>
      </c>
      <c r="B21" s="17">
        <f>IFERROR(INDEX(AP_DATA,MATCH($A21,AP_FECH,0)),"")</f>
        <v/>
      </c>
      <c r="C21" s="6">
        <f>IFERROR(INDEX(AP_TURNO,MATCH($A21,AP_FECH,0)),"")</f>
        <v/>
      </c>
      <c r="D21" s="6">
        <f>IFERROR(INDEX(AP_EQ,MATCH($A21,AP_FECH,0)),"")</f>
        <v/>
      </c>
      <c r="E21" s="12">
        <f>IF($B21="","",VLOOKUP($D21,CAD,5,FALSE))</f>
        <v/>
      </c>
      <c r="F21" s="12">
        <f>IF($B21="","",VLOOKUP($D21,CAD,5,FALSE)-VLOOKUP($D21,CAD,10,FALSE))</f>
        <v/>
      </c>
      <c r="G21" s="15">
        <f>IF($B21="","",SUMIFS(AP_DUR,AP_DATA,$B21,AP_TURNO,$C21,AP_EQ,$D21,AP_CLASSE,"Planejada"))</f>
        <v/>
      </c>
      <c r="H21" s="15">
        <f>IF($B21="","",E21-F21-G21)</f>
        <v/>
      </c>
      <c r="I21" s="15">
        <f>IF($B21="","",SUMIFS(AP_DUR,AP_DATA,$B21,AP_TURNO,$C21,AP_EQ,$D21,AP_CLASSE,"Não planejada"))</f>
        <v/>
      </c>
      <c r="J21" s="15">
        <f>IF($B21="","",H21-I21)</f>
        <v/>
      </c>
      <c r="K21" s="6">
        <f>IF($B21="","",IF(I21&gt;H21,"ERRO",""))</f>
        <v/>
      </c>
      <c r="L21" s="18">
        <f>IF($B21="","",IFERROR(J21/H21,""))</f>
        <v/>
      </c>
      <c r="M21" s="15">
        <f>IF($B21="","",VLOOKUP($D21,CAD,3,FALSE))</f>
        <v/>
      </c>
      <c r="N21" s="19">
        <f>IF($B21="","",INDEX(AP_PROD,MATCH($A21,AP_FECH,0)))</f>
        <v/>
      </c>
      <c r="O21" s="19">
        <f>IF($B21="","",J21*M21)</f>
        <v/>
      </c>
      <c r="P21" s="18">
        <f>IF($B21="","",IFERROR(N21/O21,""))</f>
        <v/>
      </c>
      <c r="Q21" s="19">
        <f>IF($B21="","",INDEX(AP_REF,MATCH($A21,AP_FECH,0)))</f>
        <v/>
      </c>
      <c r="R21" s="19">
        <f>IF($B21="","",INDEX(AP_RET,MATCH($A21,AP_FECH,0)))</f>
        <v/>
      </c>
      <c r="S21" s="19">
        <f>IF($B21="","",N21-Q21-R21)</f>
        <v/>
      </c>
      <c r="T21" s="18">
        <f>IF($B21="","",IFERROR(S21/N21,""))</f>
        <v/>
      </c>
      <c r="U21" s="18">
        <f>IF($B21="","",IFERROR(L21*P21*T21,""))</f>
        <v/>
      </c>
      <c r="V21" s="18">
        <f>IF($B21="","",IFERROR(S21/M21/H21,""))</f>
        <v/>
      </c>
      <c r="W21" s="20">
        <f>IF($B21="","",IFERROR(ROUND(U21-V21,6),""))</f>
        <v/>
      </c>
      <c r="X21" s="6">
        <f>IF($B21="","",IF(OR(K21="ERRO",W21&lt;&gt;0),"NÃO PUBLICAR",IF(P21&gt;1,"VERIFICAR: desempenho &gt; 100%","OK: as duas vias fecham")))</f>
        <v/>
      </c>
      <c r="Y21" s="15">
        <f>IF($B21="","",I21)</f>
        <v/>
      </c>
      <c r="Z21" s="15">
        <f>IF($B21="","",J21-N21/M21)</f>
        <v/>
      </c>
      <c r="AA21" s="15">
        <f>IF($B21="","",(Q21+R21)/M21)</f>
        <v/>
      </c>
      <c r="AB21" s="15">
        <f>IF($B21="","",S21/M21)</f>
        <v/>
      </c>
      <c r="AC21" s="15">
        <f>IF($B21="","",Y21+Z21+AA21+AB21)</f>
        <v/>
      </c>
      <c r="AD21" s="15">
        <f>IF($B21="","",AE21/M21)</f>
        <v/>
      </c>
      <c r="AE21" s="19">
        <f>IF($B21="","",INDEX(AP_ARR,MATCH($A21,AP_FECH,0)))</f>
        <v/>
      </c>
    </row>
    <row r="22">
      <c r="A22" s="12" t="n">
        <v>17</v>
      </c>
      <c r="B22" s="17">
        <f>IFERROR(INDEX(AP_DATA,MATCH($A22,AP_FECH,0)),"")</f>
        <v/>
      </c>
      <c r="C22" s="6">
        <f>IFERROR(INDEX(AP_TURNO,MATCH($A22,AP_FECH,0)),"")</f>
        <v/>
      </c>
      <c r="D22" s="6">
        <f>IFERROR(INDEX(AP_EQ,MATCH($A22,AP_FECH,0)),"")</f>
        <v/>
      </c>
      <c r="E22" s="12">
        <f>IF($B22="","",VLOOKUP($D22,CAD,5,FALSE))</f>
        <v/>
      </c>
      <c r="F22" s="12">
        <f>IF($B22="","",VLOOKUP($D22,CAD,5,FALSE)-VLOOKUP($D22,CAD,10,FALSE))</f>
        <v/>
      </c>
      <c r="G22" s="15">
        <f>IF($B22="","",SUMIFS(AP_DUR,AP_DATA,$B22,AP_TURNO,$C22,AP_EQ,$D22,AP_CLASSE,"Planejada"))</f>
        <v/>
      </c>
      <c r="H22" s="15">
        <f>IF($B22="","",E22-F22-G22)</f>
        <v/>
      </c>
      <c r="I22" s="15">
        <f>IF($B22="","",SUMIFS(AP_DUR,AP_DATA,$B22,AP_TURNO,$C22,AP_EQ,$D22,AP_CLASSE,"Não planejada"))</f>
        <v/>
      </c>
      <c r="J22" s="15">
        <f>IF($B22="","",H22-I22)</f>
        <v/>
      </c>
      <c r="K22" s="6">
        <f>IF($B22="","",IF(I22&gt;H22,"ERRO",""))</f>
        <v/>
      </c>
      <c r="L22" s="18">
        <f>IF($B22="","",IFERROR(J22/H22,""))</f>
        <v/>
      </c>
      <c r="M22" s="15">
        <f>IF($B22="","",VLOOKUP($D22,CAD,3,FALSE))</f>
        <v/>
      </c>
      <c r="N22" s="19">
        <f>IF($B22="","",INDEX(AP_PROD,MATCH($A22,AP_FECH,0)))</f>
        <v/>
      </c>
      <c r="O22" s="19">
        <f>IF($B22="","",J22*M22)</f>
        <v/>
      </c>
      <c r="P22" s="18">
        <f>IF($B22="","",IFERROR(N22/O22,""))</f>
        <v/>
      </c>
      <c r="Q22" s="19">
        <f>IF($B22="","",INDEX(AP_REF,MATCH($A22,AP_FECH,0)))</f>
        <v/>
      </c>
      <c r="R22" s="19">
        <f>IF($B22="","",INDEX(AP_RET,MATCH($A22,AP_FECH,0)))</f>
        <v/>
      </c>
      <c r="S22" s="19">
        <f>IF($B22="","",N22-Q22-R22)</f>
        <v/>
      </c>
      <c r="T22" s="18">
        <f>IF($B22="","",IFERROR(S22/N22,""))</f>
        <v/>
      </c>
      <c r="U22" s="18">
        <f>IF($B22="","",IFERROR(L22*P22*T22,""))</f>
        <v/>
      </c>
      <c r="V22" s="18">
        <f>IF($B22="","",IFERROR(S22/M22/H22,""))</f>
        <v/>
      </c>
      <c r="W22" s="20">
        <f>IF($B22="","",IFERROR(ROUND(U22-V22,6),""))</f>
        <v/>
      </c>
      <c r="X22" s="6">
        <f>IF($B22="","",IF(OR(K22="ERRO",W22&lt;&gt;0),"NÃO PUBLICAR",IF(P22&gt;1,"VERIFICAR: desempenho &gt; 100%","OK: as duas vias fecham")))</f>
        <v/>
      </c>
      <c r="Y22" s="15">
        <f>IF($B22="","",I22)</f>
        <v/>
      </c>
      <c r="Z22" s="15">
        <f>IF($B22="","",J22-N22/M22)</f>
        <v/>
      </c>
      <c r="AA22" s="15">
        <f>IF($B22="","",(Q22+R22)/M22)</f>
        <v/>
      </c>
      <c r="AB22" s="15">
        <f>IF($B22="","",S22/M22)</f>
        <v/>
      </c>
      <c r="AC22" s="15">
        <f>IF($B22="","",Y22+Z22+AA22+AB22)</f>
        <v/>
      </c>
      <c r="AD22" s="15">
        <f>IF($B22="","",AE22/M22)</f>
        <v/>
      </c>
      <c r="AE22" s="19">
        <f>IF($B22="","",INDEX(AP_ARR,MATCH($A22,AP_FECH,0)))</f>
        <v/>
      </c>
    </row>
    <row r="23">
      <c r="A23" s="12" t="n">
        <v>18</v>
      </c>
      <c r="B23" s="17">
        <f>IFERROR(INDEX(AP_DATA,MATCH($A23,AP_FECH,0)),"")</f>
        <v/>
      </c>
      <c r="C23" s="6">
        <f>IFERROR(INDEX(AP_TURNO,MATCH($A23,AP_FECH,0)),"")</f>
        <v/>
      </c>
      <c r="D23" s="6">
        <f>IFERROR(INDEX(AP_EQ,MATCH($A23,AP_FECH,0)),"")</f>
        <v/>
      </c>
      <c r="E23" s="12">
        <f>IF($B23="","",VLOOKUP($D23,CAD,5,FALSE))</f>
        <v/>
      </c>
      <c r="F23" s="12">
        <f>IF($B23="","",VLOOKUP($D23,CAD,5,FALSE)-VLOOKUP($D23,CAD,10,FALSE))</f>
        <v/>
      </c>
      <c r="G23" s="15">
        <f>IF($B23="","",SUMIFS(AP_DUR,AP_DATA,$B23,AP_TURNO,$C23,AP_EQ,$D23,AP_CLASSE,"Planejada"))</f>
        <v/>
      </c>
      <c r="H23" s="15">
        <f>IF($B23="","",E23-F23-G23)</f>
        <v/>
      </c>
      <c r="I23" s="15">
        <f>IF($B23="","",SUMIFS(AP_DUR,AP_DATA,$B23,AP_TURNO,$C23,AP_EQ,$D23,AP_CLASSE,"Não planejada"))</f>
        <v/>
      </c>
      <c r="J23" s="15">
        <f>IF($B23="","",H23-I23)</f>
        <v/>
      </c>
      <c r="K23" s="6">
        <f>IF($B23="","",IF(I23&gt;H23,"ERRO",""))</f>
        <v/>
      </c>
      <c r="L23" s="18">
        <f>IF($B23="","",IFERROR(J23/H23,""))</f>
        <v/>
      </c>
      <c r="M23" s="15">
        <f>IF($B23="","",VLOOKUP($D23,CAD,3,FALSE))</f>
        <v/>
      </c>
      <c r="N23" s="19">
        <f>IF($B23="","",INDEX(AP_PROD,MATCH($A23,AP_FECH,0)))</f>
        <v/>
      </c>
      <c r="O23" s="19">
        <f>IF($B23="","",J23*M23)</f>
        <v/>
      </c>
      <c r="P23" s="18">
        <f>IF($B23="","",IFERROR(N23/O23,""))</f>
        <v/>
      </c>
      <c r="Q23" s="19">
        <f>IF($B23="","",INDEX(AP_REF,MATCH($A23,AP_FECH,0)))</f>
        <v/>
      </c>
      <c r="R23" s="19">
        <f>IF($B23="","",INDEX(AP_RET,MATCH($A23,AP_FECH,0)))</f>
        <v/>
      </c>
      <c r="S23" s="19">
        <f>IF($B23="","",N23-Q23-R23)</f>
        <v/>
      </c>
      <c r="T23" s="18">
        <f>IF($B23="","",IFERROR(S23/N23,""))</f>
        <v/>
      </c>
      <c r="U23" s="18">
        <f>IF($B23="","",IFERROR(L23*P23*T23,""))</f>
        <v/>
      </c>
      <c r="V23" s="18">
        <f>IF($B23="","",IFERROR(S23/M23/H23,""))</f>
        <v/>
      </c>
      <c r="W23" s="20">
        <f>IF($B23="","",IFERROR(ROUND(U23-V23,6),""))</f>
        <v/>
      </c>
      <c r="X23" s="6">
        <f>IF($B23="","",IF(OR(K23="ERRO",W23&lt;&gt;0),"NÃO PUBLICAR",IF(P23&gt;1,"VERIFICAR: desempenho &gt; 100%","OK: as duas vias fecham")))</f>
        <v/>
      </c>
      <c r="Y23" s="15">
        <f>IF($B23="","",I23)</f>
        <v/>
      </c>
      <c r="Z23" s="15">
        <f>IF($B23="","",J23-N23/M23)</f>
        <v/>
      </c>
      <c r="AA23" s="15">
        <f>IF($B23="","",(Q23+R23)/M23)</f>
        <v/>
      </c>
      <c r="AB23" s="15">
        <f>IF($B23="","",S23/M23)</f>
        <v/>
      </c>
      <c r="AC23" s="15">
        <f>IF($B23="","",Y23+Z23+AA23+AB23)</f>
        <v/>
      </c>
      <c r="AD23" s="15">
        <f>IF($B23="","",AE23/M23)</f>
        <v/>
      </c>
      <c r="AE23" s="19">
        <f>IF($B23="","",INDEX(AP_ARR,MATCH($A23,AP_FECH,0)))</f>
        <v/>
      </c>
    </row>
    <row r="24">
      <c r="A24" s="12" t="n">
        <v>19</v>
      </c>
      <c r="B24" s="17">
        <f>IFERROR(INDEX(AP_DATA,MATCH($A24,AP_FECH,0)),"")</f>
        <v/>
      </c>
      <c r="C24" s="6">
        <f>IFERROR(INDEX(AP_TURNO,MATCH($A24,AP_FECH,0)),"")</f>
        <v/>
      </c>
      <c r="D24" s="6">
        <f>IFERROR(INDEX(AP_EQ,MATCH($A24,AP_FECH,0)),"")</f>
        <v/>
      </c>
      <c r="E24" s="12">
        <f>IF($B24="","",VLOOKUP($D24,CAD,5,FALSE))</f>
        <v/>
      </c>
      <c r="F24" s="12">
        <f>IF($B24="","",VLOOKUP($D24,CAD,5,FALSE)-VLOOKUP($D24,CAD,10,FALSE))</f>
        <v/>
      </c>
      <c r="G24" s="15">
        <f>IF($B24="","",SUMIFS(AP_DUR,AP_DATA,$B24,AP_TURNO,$C24,AP_EQ,$D24,AP_CLASSE,"Planejada"))</f>
        <v/>
      </c>
      <c r="H24" s="15">
        <f>IF($B24="","",E24-F24-G24)</f>
        <v/>
      </c>
      <c r="I24" s="15">
        <f>IF($B24="","",SUMIFS(AP_DUR,AP_DATA,$B24,AP_TURNO,$C24,AP_EQ,$D24,AP_CLASSE,"Não planejada"))</f>
        <v/>
      </c>
      <c r="J24" s="15">
        <f>IF($B24="","",H24-I24)</f>
        <v/>
      </c>
      <c r="K24" s="6">
        <f>IF($B24="","",IF(I24&gt;H24,"ERRO",""))</f>
        <v/>
      </c>
      <c r="L24" s="18">
        <f>IF($B24="","",IFERROR(J24/H24,""))</f>
        <v/>
      </c>
      <c r="M24" s="15">
        <f>IF($B24="","",VLOOKUP($D24,CAD,3,FALSE))</f>
        <v/>
      </c>
      <c r="N24" s="19">
        <f>IF($B24="","",INDEX(AP_PROD,MATCH($A24,AP_FECH,0)))</f>
        <v/>
      </c>
      <c r="O24" s="19">
        <f>IF($B24="","",J24*M24)</f>
        <v/>
      </c>
      <c r="P24" s="18">
        <f>IF($B24="","",IFERROR(N24/O24,""))</f>
        <v/>
      </c>
      <c r="Q24" s="19">
        <f>IF($B24="","",INDEX(AP_REF,MATCH($A24,AP_FECH,0)))</f>
        <v/>
      </c>
      <c r="R24" s="19">
        <f>IF($B24="","",INDEX(AP_RET,MATCH($A24,AP_FECH,0)))</f>
        <v/>
      </c>
      <c r="S24" s="19">
        <f>IF($B24="","",N24-Q24-R24)</f>
        <v/>
      </c>
      <c r="T24" s="18">
        <f>IF($B24="","",IFERROR(S24/N24,""))</f>
        <v/>
      </c>
      <c r="U24" s="18">
        <f>IF($B24="","",IFERROR(L24*P24*T24,""))</f>
        <v/>
      </c>
      <c r="V24" s="18">
        <f>IF($B24="","",IFERROR(S24/M24/H24,""))</f>
        <v/>
      </c>
      <c r="W24" s="20">
        <f>IF($B24="","",IFERROR(ROUND(U24-V24,6),""))</f>
        <v/>
      </c>
      <c r="X24" s="6">
        <f>IF($B24="","",IF(OR(K24="ERRO",W24&lt;&gt;0),"NÃO PUBLICAR",IF(P24&gt;1,"VERIFICAR: desempenho &gt; 100%","OK: as duas vias fecham")))</f>
        <v/>
      </c>
      <c r="Y24" s="15">
        <f>IF($B24="","",I24)</f>
        <v/>
      </c>
      <c r="Z24" s="15">
        <f>IF($B24="","",J24-N24/M24)</f>
        <v/>
      </c>
      <c r="AA24" s="15">
        <f>IF($B24="","",(Q24+R24)/M24)</f>
        <v/>
      </c>
      <c r="AB24" s="15">
        <f>IF($B24="","",S24/M24)</f>
        <v/>
      </c>
      <c r="AC24" s="15">
        <f>IF($B24="","",Y24+Z24+AA24+AB24)</f>
        <v/>
      </c>
      <c r="AD24" s="15">
        <f>IF($B24="","",AE24/M24)</f>
        <v/>
      </c>
      <c r="AE24" s="19">
        <f>IF($B24="","",INDEX(AP_ARR,MATCH($A24,AP_FECH,0)))</f>
        <v/>
      </c>
    </row>
    <row r="25">
      <c r="A25" s="12" t="n">
        <v>20</v>
      </c>
      <c r="B25" s="17">
        <f>IFERROR(INDEX(AP_DATA,MATCH($A25,AP_FECH,0)),"")</f>
        <v/>
      </c>
      <c r="C25" s="6">
        <f>IFERROR(INDEX(AP_TURNO,MATCH($A25,AP_FECH,0)),"")</f>
        <v/>
      </c>
      <c r="D25" s="6">
        <f>IFERROR(INDEX(AP_EQ,MATCH($A25,AP_FECH,0)),"")</f>
        <v/>
      </c>
      <c r="E25" s="12">
        <f>IF($B25="","",VLOOKUP($D25,CAD,5,FALSE))</f>
        <v/>
      </c>
      <c r="F25" s="12">
        <f>IF($B25="","",VLOOKUP($D25,CAD,5,FALSE)-VLOOKUP($D25,CAD,10,FALSE))</f>
        <v/>
      </c>
      <c r="G25" s="15">
        <f>IF($B25="","",SUMIFS(AP_DUR,AP_DATA,$B25,AP_TURNO,$C25,AP_EQ,$D25,AP_CLASSE,"Planejada"))</f>
        <v/>
      </c>
      <c r="H25" s="15">
        <f>IF($B25="","",E25-F25-G25)</f>
        <v/>
      </c>
      <c r="I25" s="15">
        <f>IF($B25="","",SUMIFS(AP_DUR,AP_DATA,$B25,AP_TURNO,$C25,AP_EQ,$D25,AP_CLASSE,"Não planejada"))</f>
        <v/>
      </c>
      <c r="J25" s="15">
        <f>IF($B25="","",H25-I25)</f>
        <v/>
      </c>
      <c r="K25" s="6">
        <f>IF($B25="","",IF(I25&gt;H25,"ERRO",""))</f>
        <v/>
      </c>
      <c r="L25" s="18">
        <f>IF($B25="","",IFERROR(J25/H25,""))</f>
        <v/>
      </c>
      <c r="M25" s="15">
        <f>IF($B25="","",VLOOKUP($D25,CAD,3,FALSE))</f>
        <v/>
      </c>
      <c r="N25" s="19">
        <f>IF($B25="","",INDEX(AP_PROD,MATCH($A25,AP_FECH,0)))</f>
        <v/>
      </c>
      <c r="O25" s="19">
        <f>IF($B25="","",J25*M25)</f>
        <v/>
      </c>
      <c r="P25" s="18">
        <f>IF($B25="","",IFERROR(N25/O25,""))</f>
        <v/>
      </c>
      <c r="Q25" s="19">
        <f>IF($B25="","",INDEX(AP_REF,MATCH($A25,AP_FECH,0)))</f>
        <v/>
      </c>
      <c r="R25" s="19">
        <f>IF($B25="","",INDEX(AP_RET,MATCH($A25,AP_FECH,0)))</f>
        <v/>
      </c>
      <c r="S25" s="19">
        <f>IF($B25="","",N25-Q25-R25)</f>
        <v/>
      </c>
      <c r="T25" s="18">
        <f>IF($B25="","",IFERROR(S25/N25,""))</f>
        <v/>
      </c>
      <c r="U25" s="18">
        <f>IF($B25="","",IFERROR(L25*P25*T25,""))</f>
        <v/>
      </c>
      <c r="V25" s="18">
        <f>IF($B25="","",IFERROR(S25/M25/H25,""))</f>
        <v/>
      </c>
      <c r="W25" s="20">
        <f>IF($B25="","",IFERROR(ROUND(U25-V25,6),""))</f>
        <v/>
      </c>
      <c r="X25" s="6">
        <f>IF($B25="","",IF(OR(K25="ERRO",W25&lt;&gt;0),"NÃO PUBLICAR",IF(P25&gt;1,"VERIFICAR: desempenho &gt; 100%","OK: as duas vias fecham")))</f>
        <v/>
      </c>
      <c r="Y25" s="15">
        <f>IF($B25="","",I25)</f>
        <v/>
      </c>
      <c r="Z25" s="15">
        <f>IF($B25="","",J25-N25/M25)</f>
        <v/>
      </c>
      <c r="AA25" s="15">
        <f>IF($B25="","",(Q25+R25)/M25)</f>
        <v/>
      </c>
      <c r="AB25" s="15">
        <f>IF($B25="","",S25/M25)</f>
        <v/>
      </c>
      <c r="AC25" s="15">
        <f>IF($B25="","",Y25+Z25+AA25+AB25)</f>
        <v/>
      </c>
      <c r="AD25" s="15">
        <f>IF($B25="","",AE25/M25)</f>
        <v/>
      </c>
      <c r="AE25" s="19">
        <f>IF($B25="","",INDEX(AP_ARR,MATCH($A25,AP_FECH,0)))</f>
        <v/>
      </c>
    </row>
    <row r="26">
      <c r="A26" s="12" t="n">
        <v>21</v>
      </c>
      <c r="B26" s="17">
        <f>IFERROR(INDEX(AP_DATA,MATCH($A26,AP_FECH,0)),"")</f>
        <v/>
      </c>
      <c r="C26" s="6">
        <f>IFERROR(INDEX(AP_TURNO,MATCH($A26,AP_FECH,0)),"")</f>
        <v/>
      </c>
      <c r="D26" s="6">
        <f>IFERROR(INDEX(AP_EQ,MATCH($A26,AP_FECH,0)),"")</f>
        <v/>
      </c>
      <c r="E26" s="12">
        <f>IF($B26="","",VLOOKUP($D26,CAD,5,FALSE))</f>
        <v/>
      </c>
      <c r="F26" s="12">
        <f>IF($B26="","",VLOOKUP($D26,CAD,5,FALSE)-VLOOKUP($D26,CAD,10,FALSE))</f>
        <v/>
      </c>
      <c r="G26" s="15">
        <f>IF($B26="","",SUMIFS(AP_DUR,AP_DATA,$B26,AP_TURNO,$C26,AP_EQ,$D26,AP_CLASSE,"Planejada"))</f>
        <v/>
      </c>
      <c r="H26" s="15">
        <f>IF($B26="","",E26-F26-G26)</f>
        <v/>
      </c>
      <c r="I26" s="15">
        <f>IF($B26="","",SUMIFS(AP_DUR,AP_DATA,$B26,AP_TURNO,$C26,AP_EQ,$D26,AP_CLASSE,"Não planejada"))</f>
        <v/>
      </c>
      <c r="J26" s="15">
        <f>IF($B26="","",H26-I26)</f>
        <v/>
      </c>
      <c r="K26" s="6">
        <f>IF($B26="","",IF(I26&gt;H26,"ERRO",""))</f>
        <v/>
      </c>
      <c r="L26" s="18">
        <f>IF($B26="","",IFERROR(J26/H26,""))</f>
        <v/>
      </c>
      <c r="M26" s="15">
        <f>IF($B26="","",VLOOKUP($D26,CAD,3,FALSE))</f>
        <v/>
      </c>
      <c r="N26" s="19">
        <f>IF($B26="","",INDEX(AP_PROD,MATCH($A26,AP_FECH,0)))</f>
        <v/>
      </c>
      <c r="O26" s="19">
        <f>IF($B26="","",J26*M26)</f>
        <v/>
      </c>
      <c r="P26" s="18">
        <f>IF($B26="","",IFERROR(N26/O26,""))</f>
        <v/>
      </c>
      <c r="Q26" s="19">
        <f>IF($B26="","",INDEX(AP_REF,MATCH($A26,AP_FECH,0)))</f>
        <v/>
      </c>
      <c r="R26" s="19">
        <f>IF($B26="","",INDEX(AP_RET,MATCH($A26,AP_FECH,0)))</f>
        <v/>
      </c>
      <c r="S26" s="19">
        <f>IF($B26="","",N26-Q26-R26)</f>
        <v/>
      </c>
      <c r="T26" s="18">
        <f>IF($B26="","",IFERROR(S26/N26,""))</f>
        <v/>
      </c>
      <c r="U26" s="18">
        <f>IF($B26="","",IFERROR(L26*P26*T26,""))</f>
        <v/>
      </c>
      <c r="V26" s="18">
        <f>IF($B26="","",IFERROR(S26/M26/H26,""))</f>
        <v/>
      </c>
      <c r="W26" s="20">
        <f>IF($B26="","",IFERROR(ROUND(U26-V26,6),""))</f>
        <v/>
      </c>
      <c r="X26" s="6">
        <f>IF($B26="","",IF(OR(K26="ERRO",W26&lt;&gt;0),"NÃO PUBLICAR",IF(P26&gt;1,"VERIFICAR: desempenho &gt; 100%","OK: as duas vias fecham")))</f>
        <v/>
      </c>
      <c r="Y26" s="15">
        <f>IF($B26="","",I26)</f>
        <v/>
      </c>
      <c r="Z26" s="15">
        <f>IF($B26="","",J26-N26/M26)</f>
        <v/>
      </c>
      <c r="AA26" s="15">
        <f>IF($B26="","",(Q26+R26)/M26)</f>
        <v/>
      </c>
      <c r="AB26" s="15">
        <f>IF($B26="","",S26/M26)</f>
        <v/>
      </c>
      <c r="AC26" s="15">
        <f>IF($B26="","",Y26+Z26+AA26+AB26)</f>
        <v/>
      </c>
      <c r="AD26" s="15">
        <f>IF($B26="","",AE26/M26)</f>
        <v/>
      </c>
      <c r="AE26" s="19">
        <f>IF($B26="","",INDEX(AP_ARR,MATCH($A26,AP_FECH,0)))</f>
        <v/>
      </c>
    </row>
    <row r="27">
      <c r="A27" s="12" t="n">
        <v>22</v>
      </c>
      <c r="B27" s="17">
        <f>IFERROR(INDEX(AP_DATA,MATCH($A27,AP_FECH,0)),"")</f>
        <v/>
      </c>
      <c r="C27" s="6">
        <f>IFERROR(INDEX(AP_TURNO,MATCH($A27,AP_FECH,0)),"")</f>
        <v/>
      </c>
      <c r="D27" s="6">
        <f>IFERROR(INDEX(AP_EQ,MATCH($A27,AP_FECH,0)),"")</f>
        <v/>
      </c>
      <c r="E27" s="12">
        <f>IF($B27="","",VLOOKUP($D27,CAD,5,FALSE))</f>
        <v/>
      </c>
      <c r="F27" s="12">
        <f>IF($B27="","",VLOOKUP($D27,CAD,5,FALSE)-VLOOKUP($D27,CAD,10,FALSE))</f>
        <v/>
      </c>
      <c r="G27" s="15">
        <f>IF($B27="","",SUMIFS(AP_DUR,AP_DATA,$B27,AP_TURNO,$C27,AP_EQ,$D27,AP_CLASSE,"Planejada"))</f>
        <v/>
      </c>
      <c r="H27" s="15">
        <f>IF($B27="","",E27-F27-G27)</f>
        <v/>
      </c>
      <c r="I27" s="15">
        <f>IF($B27="","",SUMIFS(AP_DUR,AP_DATA,$B27,AP_TURNO,$C27,AP_EQ,$D27,AP_CLASSE,"Não planejada"))</f>
        <v/>
      </c>
      <c r="J27" s="15">
        <f>IF($B27="","",H27-I27)</f>
        <v/>
      </c>
      <c r="K27" s="6">
        <f>IF($B27="","",IF(I27&gt;H27,"ERRO",""))</f>
        <v/>
      </c>
      <c r="L27" s="18">
        <f>IF($B27="","",IFERROR(J27/H27,""))</f>
        <v/>
      </c>
      <c r="M27" s="15">
        <f>IF($B27="","",VLOOKUP($D27,CAD,3,FALSE))</f>
        <v/>
      </c>
      <c r="N27" s="19">
        <f>IF($B27="","",INDEX(AP_PROD,MATCH($A27,AP_FECH,0)))</f>
        <v/>
      </c>
      <c r="O27" s="19">
        <f>IF($B27="","",J27*M27)</f>
        <v/>
      </c>
      <c r="P27" s="18">
        <f>IF($B27="","",IFERROR(N27/O27,""))</f>
        <v/>
      </c>
      <c r="Q27" s="19">
        <f>IF($B27="","",INDEX(AP_REF,MATCH($A27,AP_FECH,0)))</f>
        <v/>
      </c>
      <c r="R27" s="19">
        <f>IF($B27="","",INDEX(AP_RET,MATCH($A27,AP_FECH,0)))</f>
        <v/>
      </c>
      <c r="S27" s="19">
        <f>IF($B27="","",N27-Q27-R27)</f>
        <v/>
      </c>
      <c r="T27" s="18">
        <f>IF($B27="","",IFERROR(S27/N27,""))</f>
        <v/>
      </c>
      <c r="U27" s="18">
        <f>IF($B27="","",IFERROR(L27*P27*T27,""))</f>
        <v/>
      </c>
      <c r="V27" s="18">
        <f>IF($B27="","",IFERROR(S27/M27/H27,""))</f>
        <v/>
      </c>
      <c r="W27" s="20">
        <f>IF($B27="","",IFERROR(ROUND(U27-V27,6),""))</f>
        <v/>
      </c>
      <c r="X27" s="6">
        <f>IF($B27="","",IF(OR(K27="ERRO",W27&lt;&gt;0),"NÃO PUBLICAR",IF(P27&gt;1,"VERIFICAR: desempenho &gt; 100%","OK: as duas vias fecham")))</f>
        <v/>
      </c>
      <c r="Y27" s="15">
        <f>IF($B27="","",I27)</f>
        <v/>
      </c>
      <c r="Z27" s="15">
        <f>IF($B27="","",J27-N27/M27)</f>
        <v/>
      </c>
      <c r="AA27" s="15">
        <f>IF($B27="","",(Q27+R27)/M27)</f>
        <v/>
      </c>
      <c r="AB27" s="15">
        <f>IF($B27="","",S27/M27)</f>
        <v/>
      </c>
      <c r="AC27" s="15">
        <f>IF($B27="","",Y27+Z27+AA27+AB27)</f>
        <v/>
      </c>
      <c r="AD27" s="15">
        <f>IF($B27="","",AE27/M27)</f>
        <v/>
      </c>
      <c r="AE27" s="19">
        <f>IF($B27="","",INDEX(AP_ARR,MATCH($A27,AP_FECH,0)))</f>
        <v/>
      </c>
    </row>
    <row r="28">
      <c r="A28" s="12" t="n">
        <v>23</v>
      </c>
      <c r="B28" s="17">
        <f>IFERROR(INDEX(AP_DATA,MATCH($A28,AP_FECH,0)),"")</f>
        <v/>
      </c>
      <c r="C28" s="6">
        <f>IFERROR(INDEX(AP_TURNO,MATCH($A28,AP_FECH,0)),"")</f>
        <v/>
      </c>
      <c r="D28" s="6">
        <f>IFERROR(INDEX(AP_EQ,MATCH($A28,AP_FECH,0)),"")</f>
        <v/>
      </c>
      <c r="E28" s="12">
        <f>IF($B28="","",VLOOKUP($D28,CAD,5,FALSE))</f>
        <v/>
      </c>
      <c r="F28" s="12">
        <f>IF($B28="","",VLOOKUP($D28,CAD,5,FALSE)-VLOOKUP($D28,CAD,10,FALSE))</f>
        <v/>
      </c>
      <c r="G28" s="15">
        <f>IF($B28="","",SUMIFS(AP_DUR,AP_DATA,$B28,AP_TURNO,$C28,AP_EQ,$D28,AP_CLASSE,"Planejada"))</f>
        <v/>
      </c>
      <c r="H28" s="15">
        <f>IF($B28="","",E28-F28-G28)</f>
        <v/>
      </c>
      <c r="I28" s="15">
        <f>IF($B28="","",SUMIFS(AP_DUR,AP_DATA,$B28,AP_TURNO,$C28,AP_EQ,$D28,AP_CLASSE,"Não planejada"))</f>
        <v/>
      </c>
      <c r="J28" s="15">
        <f>IF($B28="","",H28-I28)</f>
        <v/>
      </c>
      <c r="K28" s="6">
        <f>IF($B28="","",IF(I28&gt;H28,"ERRO",""))</f>
        <v/>
      </c>
      <c r="L28" s="18">
        <f>IF($B28="","",IFERROR(J28/H28,""))</f>
        <v/>
      </c>
      <c r="M28" s="15">
        <f>IF($B28="","",VLOOKUP($D28,CAD,3,FALSE))</f>
        <v/>
      </c>
      <c r="N28" s="19">
        <f>IF($B28="","",INDEX(AP_PROD,MATCH($A28,AP_FECH,0)))</f>
        <v/>
      </c>
      <c r="O28" s="19">
        <f>IF($B28="","",J28*M28)</f>
        <v/>
      </c>
      <c r="P28" s="18">
        <f>IF($B28="","",IFERROR(N28/O28,""))</f>
        <v/>
      </c>
      <c r="Q28" s="19">
        <f>IF($B28="","",INDEX(AP_REF,MATCH($A28,AP_FECH,0)))</f>
        <v/>
      </c>
      <c r="R28" s="19">
        <f>IF($B28="","",INDEX(AP_RET,MATCH($A28,AP_FECH,0)))</f>
        <v/>
      </c>
      <c r="S28" s="19">
        <f>IF($B28="","",N28-Q28-R28)</f>
        <v/>
      </c>
      <c r="T28" s="18">
        <f>IF($B28="","",IFERROR(S28/N28,""))</f>
        <v/>
      </c>
      <c r="U28" s="18">
        <f>IF($B28="","",IFERROR(L28*P28*T28,""))</f>
        <v/>
      </c>
      <c r="V28" s="18">
        <f>IF($B28="","",IFERROR(S28/M28/H28,""))</f>
        <v/>
      </c>
      <c r="W28" s="20">
        <f>IF($B28="","",IFERROR(ROUND(U28-V28,6),""))</f>
        <v/>
      </c>
      <c r="X28" s="6">
        <f>IF($B28="","",IF(OR(K28="ERRO",W28&lt;&gt;0),"NÃO PUBLICAR",IF(P28&gt;1,"VERIFICAR: desempenho &gt; 100%","OK: as duas vias fecham")))</f>
        <v/>
      </c>
      <c r="Y28" s="15">
        <f>IF($B28="","",I28)</f>
        <v/>
      </c>
      <c r="Z28" s="15">
        <f>IF($B28="","",J28-N28/M28)</f>
        <v/>
      </c>
      <c r="AA28" s="15">
        <f>IF($B28="","",(Q28+R28)/M28)</f>
        <v/>
      </c>
      <c r="AB28" s="15">
        <f>IF($B28="","",S28/M28)</f>
        <v/>
      </c>
      <c r="AC28" s="15">
        <f>IF($B28="","",Y28+Z28+AA28+AB28)</f>
        <v/>
      </c>
      <c r="AD28" s="15">
        <f>IF($B28="","",AE28/M28)</f>
        <v/>
      </c>
      <c r="AE28" s="19">
        <f>IF($B28="","",INDEX(AP_ARR,MATCH($A28,AP_FECH,0)))</f>
        <v/>
      </c>
    </row>
    <row r="29">
      <c r="A29" s="12" t="n">
        <v>24</v>
      </c>
      <c r="B29" s="17">
        <f>IFERROR(INDEX(AP_DATA,MATCH($A29,AP_FECH,0)),"")</f>
        <v/>
      </c>
      <c r="C29" s="6">
        <f>IFERROR(INDEX(AP_TURNO,MATCH($A29,AP_FECH,0)),"")</f>
        <v/>
      </c>
      <c r="D29" s="6">
        <f>IFERROR(INDEX(AP_EQ,MATCH($A29,AP_FECH,0)),"")</f>
        <v/>
      </c>
      <c r="E29" s="12">
        <f>IF($B29="","",VLOOKUP($D29,CAD,5,FALSE))</f>
        <v/>
      </c>
      <c r="F29" s="12">
        <f>IF($B29="","",VLOOKUP($D29,CAD,5,FALSE)-VLOOKUP($D29,CAD,10,FALSE))</f>
        <v/>
      </c>
      <c r="G29" s="15">
        <f>IF($B29="","",SUMIFS(AP_DUR,AP_DATA,$B29,AP_TURNO,$C29,AP_EQ,$D29,AP_CLASSE,"Planejada"))</f>
        <v/>
      </c>
      <c r="H29" s="15">
        <f>IF($B29="","",E29-F29-G29)</f>
        <v/>
      </c>
      <c r="I29" s="15">
        <f>IF($B29="","",SUMIFS(AP_DUR,AP_DATA,$B29,AP_TURNO,$C29,AP_EQ,$D29,AP_CLASSE,"Não planejada"))</f>
        <v/>
      </c>
      <c r="J29" s="15">
        <f>IF($B29="","",H29-I29)</f>
        <v/>
      </c>
      <c r="K29" s="6">
        <f>IF($B29="","",IF(I29&gt;H29,"ERRO",""))</f>
        <v/>
      </c>
      <c r="L29" s="18">
        <f>IF($B29="","",IFERROR(J29/H29,""))</f>
        <v/>
      </c>
      <c r="M29" s="15">
        <f>IF($B29="","",VLOOKUP($D29,CAD,3,FALSE))</f>
        <v/>
      </c>
      <c r="N29" s="19">
        <f>IF($B29="","",INDEX(AP_PROD,MATCH($A29,AP_FECH,0)))</f>
        <v/>
      </c>
      <c r="O29" s="19">
        <f>IF($B29="","",J29*M29)</f>
        <v/>
      </c>
      <c r="P29" s="18">
        <f>IF($B29="","",IFERROR(N29/O29,""))</f>
        <v/>
      </c>
      <c r="Q29" s="19">
        <f>IF($B29="","",INDEX(AP_REF,MATCH($A29,AP_FECH,0)))</f>
        <v/>
      </c>
      <c r="R29" s="19">
        <f>IF($B29="","",INDEX(AP_RET,MATCH($A29,AP_FECH,0)))</f>
        <v/>
      </c>
      <c r="S29" s="19">
        <f>IF($B29="","",N29-Q29-R29)</f>
        <v/>
      </c>
      <c r="T29" s="18">
        <f>IF($B29="","",IFERROR(S29/N29,""))</f>
        <v/>
      </c>
      <c r="U29" s="18">
        <f>IF($B29="","",IFERROR(L29*P29*T29,""))</f>
        <v/>
      </c>
      <c r="V29" s="18">
        <f>IF($B29="","",IFERROR(S29/M29/H29,""))</f>
        <v/>
      </c>
      <c r="W29" s="20">
        <f>IF($B29="","",IFERROR(ROUND(U29-V29,6),""))</f>
        <v/>
      </c>
      <c r="X29" s="6">
        <f>IF($B29="","",IF(OR(K29="ERRO",W29&lt;&gt;0),"NÃO PUBLICAR",IF(P29&gt;1,"VERIFICAR: desempenho &gt; 100%","OK: as duas vias fecham")))</f>
        <v/>
      </c>
      <c r="Y29" s="15">
        <f>IF($B29="","",I29)</f>
        <v/>
      </c>
      <c r="Z29" s="15">
        <f>IF($B29="","",J29-N29/M29)</f>
        <v/>
      </c>
      <c r="AA29" s="15">
        <f>IF($B29="","",(Q29+R29)/M29)</f>
        <v/>
      </c>
      <c r="AB29" s="15">
        <f>IF($B29="","",S29/M29)</f>
        <v/>
      </c>
      <c r="AC29" s="15">
        <f>IF($B29="","",Y29+Z29+AA29+AB29)</f>
        <v/>
      </c>
      <c r="AD29" s="15">
        <f>IF($B29="","",AE29/M29)</f>
        <v/>
      </c>
      <c r="AE29" s="19">
        <f>IF($B29="","",INDEX(AP_ARR,MATCH($A29,AP_FECH,0)))</f>
        <v/>
      </c>
    </row>
    <row r="30">
      <c r="A30" s="12" t="n">
        <v>25</v>
      </c>
      <c r="B30" s="17">
        <f>IFERROR(INDEX(AP_DATA,MATCH($A30,AP_FECH,0)),"")</f>
        <v/>
      </c>
      <c r="C30" s="6">
        <f>IFERROR(INDEX(AP_TURNO,MATCH($A30,AP_FECH,0)),"")</f>
        <v/>
      </c>
      <c r="D30" s="6">
        <f>IFERROR(INDEX(AP_EQ,MATCH($A30,AP_FECH,0)),"")</f>
        <v/>
      </c>
      <c r="E30" s="12">
        <f>IF($B30="","",VLOOKUP($D30,CAD,5,FALSE))</f>
        <v/>
      </c>
      <c r="F30" s="12">
        <f>IF($B30="","",VLOOKUP($D30,CAD,5,FALSE)-VLOOKUP($D30,CAD,10,FALSE))</f>
        <v/>
      </c>
      <c r="G30" s="15">
        <f>IF($B30="","",SUMIFS(AP_DUR,AP_DATA,$B30,AP_TURNO,$C30,AP_EQ,$D30,AP_CLASSE,"Planejada"))</f>
        <v/>
      </c>
      <c r="H30" s="15">
        <f>IF($B30="","",E30-F30-G30)</f>
        <v/>
      </c>
      <c r="I30" s="15">
        <f>IF($B30="","",SUMIFS(AP_DUR,AP_DATA,$B30,AP_TURNO,$C30,AP_EQ,$D30,AP_CLASSE,"Não planejada"))</f>
        <v/>
      </c>
      <c r="J30" s="15">
        <f>IF($B30="","",H30-I30)</f>
        <v/>
      </c>
      <c r="K30" s="6">
        <f>IF($B30="","",IF(I30&gt;H30,"ERRO",""))</f>
        <v/>
      </c>
      <c r="L30" s="18">
        <f>IF($B30="","",IFERROR(J30/H30,""))</f>
        <v/>
      </c>
      <c r="M30" s="15">
        <f>IF($B30="","",VLOOKUP($D30,CAD,3,FALSE))</f>
        <v/>
      </c>
      <c r="N30" s="19">
        <f>IF($B30="","",INDEX(AP_PROD,MATCH($A30,AP_FECH,0)))</f>
        <v/>
      </c>
      <c r="O30" s="19">
        <f>IF($B30="","",J30*M30)</f>
        <v/>
      </c>
      <c r="P30" s="18">
        <f>IF($B30="","",IFERROR(N30/O30,""))</f>
        <v/>
      </c>
      <c r="Q30" s="19">
        <f>IF($B30="","",INDEX(AP_REF,MATCH($A30,AP_FECH,0)))</f>
        <v/>
      </c>
      <c r="R30" s="19">
        <f>IF($B30="","",INDEX(AP_RET,MATCH($A30,AP_FECH,0)))</f>
        <v/>
      </c>
      <c r="S30" s="19">
        <f>IF($B30="","",N30-Q30-R30)</f>
        <v/>
      </c>
      <c r="T30" s="18">
        <f>IF($B30="","",IFERROR(S30/N30,""))</f>
        <v/>
      </c>
      <c r="U30" s="18">
        <f>IF($B30="","",IFERROR(L30*P30*T30,""))</f>
        <v/>
      </c>
      <c r="V30" s="18">
        <f>IF($B30="","",IFERROR(S30/M30/H30,""))</f>
        <v/>
      </c>
      <c r="W30" s="20">
        <f>IF($B30="","",IFERROR(ROUND(U30-V30,6),""))</f>
        <v/>
      </c>
      <c r="X30" s="6">
        <f>IF($B30="","",IF(OR(K30="ERRO",W30&lt;&gt;0),"NÃO PUBLICAR",IF(P30&gt;1,"VERIFICAR: desempenho &gt; 100%","OK: as duas vias fecham")))</f>
        <v/>
      </c>
      <c r="Y30" s="15">
        <f>IF($B30="","",I30)</f>
        <v/>
      </c>
      <c r="Z30" s="15">
        <f>IF($B30="","",J30-N30/M30)</f>
        <v/>
      </c>
      <c r="AA30" s="15">
        <f>IF($B30="","",(Q30+R30)/M30)</f>
        <v/>
      </c>
      <c r="AB30" s="15">
        <f>IF($B30="","",S30/M30)</f>
        <v/>
      </c>
      <c r="AC30" s="15">
        <f>IF($B30="","",Y30+Z30+AA30+AB30)</f>
        <v/>
      </c>
      <c r="AD30" s="15">
        <f>IF($B30="","",AE30/M30)</f>
        <v/>
      </c>
      <c r="AE30" s="19">
        <f>IF($B30="","",INDEX(AP_ARR,MATCH($A30,AP_FECH,0)))</f>
        <v/>
      </c>
    </row>
    <row r="31">
      <c r="A31" s="12" t="n">
        <v>26</v>
      </c>
      <c r="B31" s="17">
        <f>IFERROR(INDEX(AP_DATA,MATCH($A31,AP_FECH,0)),"")</f>
        <v/>
      </c>
      <c r="C31" s="6">
        <f>IFERROR(INDEX(AP_TURNO,MATCH($A31,AP_FECH,0)),"")</f>
        <v/>
      </c>
      <c r="D31" s="6">
        <f>IFERROR(INDEX(AP_EQ,MATCH($A31,AP_FECH,0)),"")</f>
        <v/>
      </c>
      <c r="E31" s="12">
        <f>IF($B31="","",VLOOKUP($D31,CAD,5,FALSE))</f>
        <v/>
      </c>
      <c r="F31" s="12">
        <f>IF($B31="","",VLOOKUP($D31,CAD,5,FALSE)-VLOOKUP($D31,CAD,10,FALSE))</f>
        <v/>
      </c>
      <c r="G31" s="15">
        <f>IF($B31="","",SUMIFS(AP_DUR,AP_DATA,$B31,AP_TURNO,$C31,AP_EQ,$D31,AP_CLASSE,"Planejada"))</f>
        <v/>
      </c>
      <c r="H31" s="15">
        <f>IF($B31="","",E31-F31-G31)</f>
        <v/>
      </c>
      <c r="I31" s="15">
        <f>IF($B31="","",SUMIFS(AP_DUR,AP_DATA,$B31,AP_TURNO,$C31,AP_EQ,$D31,AP_CLASSE,"Não planejada"))</f>
        <v/>
      </c>
      <c r="J31" s="15">
        <f>IF($B31="","",H31-I31)</f>
        <v/>
      </c>
      <c r="K31" s="6">
        <f>IF($B31="","",IF(I31&gt;H31,"ERRO",""))</f>
        <v/>
      </c>
      <c r="L31" s="18">
        <f>IF($B31="","",IFERROR(J31/H31,""))</f>
        <v/>
      </c>
      <c r="M31" s="15">
        <f>IF($B31="","",VLOOKUP($D31,CAD,3,FALSE))</f>
        <v/>
      </c>
      <c r="N31" s="19">
        <f>IF($B31="","",INDEX(AP_PROD,MATCH($A31,AP_FECH,0)))</f>
        <v/>
      </c>
      <c r="O31" s="19">
        <f>IF($B31="","",J31*M31)</f>
        <v/>
      </c>
      <c r="P31" s="18">
        <f>IF($B31="","",IFERROR(N31/O31,""))</f>
        <v/>
      </c>
      <c r="Q31" s="19">
        <f>IF($B31="","",INDEX(AP_REF,MATCH($A31,AP_FECH,0)))</f>
        <v/>
      </c>
      <c r="R31" s="19">
        <f>IF($B31="","",INDEX(AP_RET,MATCH($A31,AP_FECH,0)))</f>
        <v/>
      </c>
      <c r="S31" s="19">
        <f>IF($B31="","",N31-Q31-R31)</f>
        <v/>
      </c>
      <c r="T31" s="18">
        <f>IF($B31="","",IFERROR(S31/N31,""))</f>
        <v/>
      </c>
      <c r="U31" s="18">
        <f>IF($B31="","",IFERROR(L31*P31*T31,""))</f>
        <v/>
      </c>
      <c r="V31" s="18">
        <f>IF($B31="","",IFERROR(S31/M31/H31,""))</f>
        <v/>
      </c>
      <c r="W31" s="20">
        <f>IF($B31="","",IFERROR(ROUND(U31-V31,6),""))</f>
        <v/>
      </c>
      <c r="X31" s="6">
        <f>IF($B31="","",IF(OR(K31="ERRO",W31&lt;&gt;0),"NÃO PUBLICAR",IF(P31&gt;1,"VERIFICAR: desempenho &gt; 100%","OK: as duas vias fecham")))</f>
        <v/>
      </c>
      <c r="Y31" s="15">
        <f>IF($B31="","",I31)</f>
        <v/>
      </c>
      <c r="Z31" s="15">
        <f>IF($B31="","",J31-N31/M31)</f>
        <v/>
      </c>
      <c r="AA31" s="15">
        <f>IF($B31="","",(Q31+R31)/M31)</f>
        <v/>
      </c>
      <c r="AB31" s="15">
        <f>IF($B31="","",S31/M31)</f>
        <v/>
      </c>
      <c r="AC31" s="15">
        <f>IF($B31="","",Y31+Z31+AA31+AB31)</f>
        <v/>
      </c>
      <c r="AD31" s="15">
        <f>IF($B31="","",AE31/M31)</f>
        <v/>
      </c>
      <c r="AE31" s="19">
        <f>IF($B31="","",INDEX(AP_ARR,MATCH($A31,AP_FECH,0)))</f>
        <v/>
      </c>
    </row>
    <row r="32">
      <c r="A32" s="12" t="n">
        <v>27</v>
      </c>
      <c r="B32" s="17">
        <f>IFERROR(INDEX(AP_DATA,MATCH($A32,AP_FECH,0)),"")</f>
        <v/>
      </c>
      <c r="C32" s="6">
        <f>IFERROR(INDEX(AP_TURNO,MATCH($A32,AP_FECH,0)),"")</f>
        <v/>
      </c>
      <c r="D32" s="6">
        <f>IFERROR(INDEX(AP_EQ,MATCH($A32,AP_FECH,0)),"")</f>
        <v/>
      </c>
      <c r="E32" s="12">
        <f>IF($B32="","",VLOOKUP($D32,CAD,5,FALSE))</f>
        <v/>
      </c>
      <c r="F32" s="12">
        <f>IF($B32="","",VLOOKUP($D32,CAD,5,FALSE)-VLOOKUP($D32,CAD,10,FALSE))</f>
        <v/>
      </c>
      <c r="G32" s="15">
        <f>IF($B32="","",SUMIFS(AP_DUR,AP_DATA,$B32,AP_TURNO,$C32,AP_EQ,$D32,AP_CLASSE,"Planejada"))</f>
        <v/>
      </c>
      <c r="H32" s="15">
        <f>IF($B32="","",E32-F32-G32)</f>
        <v/>
      </c>
      <c r="I32" s="15">
        <f>IF($B32="","",SUMIFS(AP_DUR,AP_DATA,$B32,AP_TURNO,$C32,AP_EQ,$D32,AP_CLASSE,"Não planejada"))</f>
        <v/>
      </c>
      <c r="J32" s="15">
        <f>IF($B32="","",H32-I32)</f>
        <v/>
      </c>
      <c r="K32" s="6">
        <f>IF($B32="","",IF(I32&gt;H32,"ERRO",""))</f>
        <v/>
      </c>
      <c r="L32" s="18">
        <f>IF($B32="","",IFERROR(J32/H32,""))</f>
        <v/>
      </c>
      <c r="M32" s="15">
        <f>IF($B32="","",VLOOKUP($D32,CAD,3,FALSE))</f>
        <v/>
      </c>
      <c r="N32" s="19">
        <f>IF($B32="","",INDEX(AP_PROD,MATCH($A32,AP_FECH,0)))</f>
        <v/>
      </c>
      <c r="O32" s="19">
        <f>IF($B32="","",J32*M32)</f>
        <v/>
      </c>
      <c r="P32" s="18">
        <f>IF($B32="","",IFERROR(N32/O32,""))</f>
        <v/>
      </c>
      <c r="Q32" s="19">
        <f>IF($B32="","",INDEX(AP_REF,MATCH($A32,AP_FECH,0)))</f>
        <v/>
      </c>
      <c r="R32" s="19">
        <f>IF($B32="","",INDEX(AP_RET,MATCH($A32,AP_FECH,0)))</f>
        <v/>
      </c>
      <c r="S32" s="19">
        <f>IF($B32="","",N32-Q32-R32)</f>
        <v/>
      </c>
      <c r="T32" s="18">
        <f>IF($B32="","",IFERROR(S32/N32,""))</f>
        <v/>
      </c>
      <c r="U32" s="18">
        <f>IF($B32="","",IFERROR(L32*P32*T32,""))</f>
        <v/>
      </c>
      <c r="V32" s="18">
        <f>IF($B32="","",IFERROR(S32/M32/H32,""))</f>
        <v/>
      </c>
      <c r="W32" s="20">
        <f>IF($B32="","",IFERROR(ROUND(U32-V32,6),""))</f>
        <v/>
      </c>
      <c r="X32" s="6">
        <f>IF($B32="","",IF(OR(K32="ERRO",W32&lt;&gt;0),"NÃO PUBLICAR",IF(P32&gt;1,"VERIFICAR: desempenho &gt; 100%","OK: as duas vias fecham")))</f>
        <v/>
      </c>
      <c r="Y32" s="15">
        <f>IF($B32="","",I32)</f>
        <v/>
      </c>
      <c r="Z32" s="15">
        <f>IF($B32="","",J32-N32/M32)</f>
        <v/>
      </c>
      <c r="AA32" s="15">
        <f>IF($B32="","",(Q32+R32)/M32)</f>
        <v/>
      </c>
      <c r="AB32" s="15">
        <f>IF($B32="","",S32/M32)</f>
        <v/>
      </c>
      <c r="AC32" s="15">
        <f>IF($B32="","",Y32+Z32+AA32+AB32)</f>
        <v/>
      </c>
      <c r="AD32" s="15">
        <f>IF($B32="","",AE32/M32)</f>
        <v/>
      </c>
      <c r="AE32" s="19">
        <f>IF($B32="","",INDEX(AP_ARR,MATCH($A32,AP_FECH,0)))</f>
        <v/>
      </c>
    </row>
    <row r="33">
      <c r="A33" s="12" t="n">
        <v>28</v>
      </c>
      <c r="B33" s="17">
        <f>IFERROR(INDEX(AP_DATA,MATCH($A33,AP_FECH,0)),"")</f>
        <v/>
      </c>
      <c r="C33" s="6">
        <f>IFERROR(INDEX(AP_TURNO,MATCH($A33,AP_FECH,0)),"")</f>
        <v/>
      </c>
      <c r="D33" s="6">
        <f>IFERROR(INDEX(AP_EQ,MATCH($A33,AP_FECH,0)),"")</f>
        <v/>
      </c>
      <c r="E33" s="12">
        <f>IF($B33="","",VLOOKUP($D33,CAD,5,FALSE))</f>
        <v/>
      </c>
      <c r="F33" s="12">
        <f>IF($B33="","",VLOOKUP($D33,CAD,5,FALSE)-VLOOKUP($D33,CAD,10,FALSE))</f>
        <v/>
      </c>
      <c r="G33" s="15">
        <f>IF($B33="","",SUMIFS(AP_DUR,AP_DATA,$B33,AP_TURNO,$C33,AP_EQ,$D33,AP_CLASSE,"Planejada"))</f>
        <v/>
      </c>
      <c r="H33" s="15">
        <f>IF($B33="","",E33-F33-G33)</f>
        <v/>
      </c>
      <c r="I33" s="15">
        <f>IF($B33="","",SUMIFS(AP_DUR,AP_DATA,$B33,AP_TURNO,$C33,AP_EQ,$D33,AP_CLASSE,"Não planejada"))</f>
        <v/>
      </c>
      <c r="J33" s="15">
        <f>IF($B33="","",H33-I33)</f>
        <v/>
      </c>
      <c r="K33" s="6">
        <f>IF($B33="","",IF(I33&gt;H33,"ERRO",""))</f>
        <v/>
      </c>
      <c r="L33" s="18">
        <f>IF($B33="","",IFERROR(J33/H33,""))</f>
        <v/>
      </c>
      <c r="M33" s="15">
        <f>IF($B33="","",VLOOKUP($D33,CAD,3,FALSE))</f>
        <v/>
      </c>
      <c r="N33" s="19">
        <f>IF($B33="","",INDEX(AP_PROD,MATCH($A33,AP_FECH,0)))</f>
        <v/>
      </c>
      <c r="O33" s="19">
        <f>IF($B33="","",J33*M33)</f>
        <v/>
      </c>
      <c r="P33" s="18">
        <f>IF($B33="","",IFERROR(N33/O33,""))</f>
        <v/>
      </c>
      <c r="Q33" s="19">
        <f>IF($B33="","",INDEX(AP_REF,MATCH($A33,AP_FECH,0)))</f>
        <v/>
      </c>
      <c r="R33" s="19">
        <f>IF($B33="","",INDEX(AP_RET,MATCH($A33,AP_FECH,0)))</f>
        <v/>
      </c>
      <c r="S33" s="19">
        <f>IF($B33="","",N33-Q33-R33)</f>
        <v/>
      </c>
      <c r="T33" s="18">
        <f>IF($B33="","",IFERROR(S33/N33,""))</f>
        <v/>
      </c>
      <c r="U33" s="18">
        <f>IF($B33="","",IFERROR(L33*P33*T33,""))</f>
        <v/>
      </c>
      <c r="V33" s="18">
        <f>IF($B33="","",IFERROR(S33/M33/H33,""))</f>
        <v/>
      </c>
      <c r="W33" s="20">
        <f>IF($B33="","",IFERROR(ROUND(U33-V33,6),""))</f>
        <v/>
      </c>
      <c r="X33" s="6">
        <f>IF($B33="","",IF(OR(K33="ERRO",W33&lt;&gt;0),"NÃO PUBLICAR",IF(P33&gt;1,"VERIFICAR: desempenho &gt; 100%","OK: as duas vias fecham")))</f>
        <v/>
      </c>
      <c r="Y33" s="15">
        <f>IF($B33="","",I33)</f>
        <v/>
      </c>
      <c r="Z33" s="15">
        <f>IF($B33="","",J33-N33/M33)</f>
        <v/>
      </c>
      <c r="AA33" s="15">
        <f>IF($B33="","",(Q33+R33)/M33)</f>
        <v/>
      </c>
      <c r="AB33" s="15">
        <f>IF($B33="","",S33/M33)</f>
        <v/>
      </c>
      <c r="AC33" s="15">
        <f>IF($B33="","",Y33+Z33+AA33+AB33)</f>
        <v/>
      </c>
      <c r="AD33" s="15">
        <f>IF($B33="","",AE33/M33)</f>
        <v/>
      </c>
      <c r="AE33" s="19">
        <f>IF($B33="","",INDEX(AP_ARR,MATCH($A33,AP_FECH,0)))</f>
        <v/>
      </c>
    </row>
    <row r="34">
      <c r="A34" s="12" t="n">
        <v>29</v>
      </c>
      <c r="B34" s="17">
        <f>IFERROR(INDEX(AP_DATA,MATCH($A34,AP_FECH,0)),"")</f>
        <v/>
      </c>
      <c r="C34" s="6">
        <f>IFERROR(INDEX(AP_TURNO,MATCH($A34,AP_FECH,0)),"")</f>
        <v/>
      </c>
      <c r="D34" s="6">
        <f>IFERROR(INDEX(AP_EQ,MATCH($A34,AP_FECH,0)),"")</f>
        <v/>
      </c>
      <c r="E34" s="12">
        <f>IF($B34="","",VLOOKUP($D34,CAD,5,FALSE))</f>
        <v/>
      </c>
      <c r="F34" s="12">
        <f>IF($B34="","",VLOOKUP($D34,CAD,5,FALSE)-VLOOKUP($D34,CAD,10,FALSE))</f>
        <v/>
      </c>
      <c r="G34" s="15">
        <f>IF($B34="","",SUMIFS(AP_DUR,AP_DATA,$B34,AP_TURNO,$C34,AP_EQ,$D34,AP_CLASSE,"Planejada"))</f>
        <v/>
      </c>
      <c r="H34" s="15">
        <f>IF($B34="","",E34-F34-G34)</f>
        <v/>
      </c>
      <c r="I34" s="15">
        <f>IF($B34="","",SUMIFS(AP_DUR,AP_DATA,$B34,AP_TURNO,$C34,AP_EQ,$D34,AP_CLASSE,"Não planejada"))</f>
        <v/>
      </c>
      <c r="J34" s="15">
        <f>IF($B34="","",H34-I34)</f>
        <v/>
      </c>
      <c r="K34" s="6">
        <f>IF($B34="","",IF(I34&gt;H34,"ERRO",""))</f>
        <v/>
      </c>
      <c r="L34" s="18">
        <f>IF($B34="","",IFERROR(J34/H34,""))</f>
        <v/>
      </c>
      <c r="M34" s="15">
        <f>IF($B34="","",VLOOKUP($D34,CAD,3,FALSE))</f>
        <v/>
      </c>
      <c r="N34" s="19">
        <f>IF($B34="","",INDEX(AP_PROD,MATCH($A34,AP_FECH,0)))</f>
        <v/>
      </c>
      <c r="O34" s="19">
        <f>IF($B34="","",J34*M34)</f>
        <v/>
      </c>
      <c r="P34" s="18">
        <f>IF($B34="","",IFERROR(N34/O34,""))</f>
        <v/>
      </c>
      <c r="Q34" s="19">
        <f>IF($B34="","",INDEX(AP_REF,MATCH($A34,AP_FECH,0)))</f>
        <v/>
      </c>
      <c r="R34" s="19">
        <f>IF($B34="","",INDEX(AP_RET,MATCH($A34,AP_FECH,0)))</f>
        <v/>
      </c>
      <c r="S34" s="19">
        <f>IF($B34="","",N34-Q34-R34)</f>
        <v/>
      </c>
      <c r="T34" s="18">
        <f>IF($B34="","",IFERROR(S34/N34,""))</f>
        <v/>
      </c>
      <c r="U34" s="18">
        <f>IF($B34="","",IFERROR(L34*P34*T34,""))</f>
        <v/>
      </c>
      <c r="V34" s="18">
        <f>IF($B34="","",IFERROR(S34/M34/H34,""))</f>
        <v/>
      </c>
      <c r="W34" s="20">
        <f>IF($B34="","",IFERROR(ROUND(U34-V34,6),""))</f>
        <v/>
      </c>
      <c r="X34" s="6">
        <f>IF($B34="","",IF(OR(K34="ERRO",W34&lt;&gt;0),"NÃO PUBLICAR",IF(P34&gt;1,"VERIFICAR: desempenho &gt; 100%","OK: as duas vias fecham")))</f>
        <v/>
      </c>
      <c r="Y34" s="15">
        <f>IF($B34="","",I34)</f>
        <v/>
      </c>
      <c r="Z34" s="15">
        <f>IF($B34="","",J34-N34/M34)</f>
        <v/>
      </c>
      <c r="AA34" s="15">
        <f>IF($B34="","",(Q34+R34)/M34)</f>
        <v/>
      </c>
      <c r="AB34" s="15">
        <f>IF($B34="","",S34/M34)</f>
        <v/>
      </c>
      <c r="AC34" s="15">
        <f>IF($B34="","",Y34+Z34+AA34+AB34)</f>
        <v/>
      </c>
      <c r="AD34" s="15">
        <f>IF($B34="","",AE34/M34)</f>
        <v/>
      </c>
      <c r="AE34" s="19">
        <f>IF($B34="","",INDEX(AP_ARR,MATCH($A34,AP_FECH,0)))</f>
        <v/>
      </c>
    </row>
    <row r="35">
      <c r="A35" s="12" t="n">
        <v>30</v>
      </c>
      <c r="B35" s="17">
        <f>IFERROR(INDEX(AP_DATA,MATCH($A35,AP_FECH,0)),"")</f>
        <v/>
      </c>
      <c r="C35" s="6">
        <f>IFERROR(INDEX(AP_TURNO,MATCH($A35,AP_FECH,0)),"")</f>
        <v/>
      </c>
      <c r="D35" s="6">
        <f>IFERROR(INDEX(AP_EQ,MATCH($A35,AP_FECH,0)),"")</f>
        <v/>
      </c>
      <c r="E35" s="12">
        <f>IF($B35="","",VLOOKUP($D35,CAD,5,FALSE))</f>
        <v/>
      </c>
      <c r="F35" s="12">
        <f>IF($B35="","",VLOOKUP($D35,CAD,5,FALSE)-VLOOKUP($D35,CAD,10,FALSE))</f>
        <v/>
      </c>
      <c r="G35" s="15">
        <f>IF($B35="","",SUMIFS(AP_DUR,AP_DATA,$B35,AP_TURNO,$C35,AP_EQ,$D35,AP_CLASSE,"Planejada"))</f>
        <v/>
      </c>
      <c r="H35" s="15">
        <f>IF($B35="","",E35-F35-G35)</f>
        <v/>
      </c>
      <c r="I35" s="15">
        <f>IF($B35="","",SUMIFS(AP_DUR,AP_DATA,$B35,AP_TURNO,$C35,AP_EQ,$D35,AP_CLASSE,"Não planejada"))</f>
        <v/>
      </c>
      <c r="J35" s="15">
        <f>IF($B35="","",H35-I35)</f>
        <v/>
      </c>
      <c r="K35" s="6">
        <f>IF($B35="","",IF(I35&gt;H35,"ERRO",""))</f>
        <v/>
      </c>
      <c r="L35" s="18">
        <f>IF($B35="","",IFERROR(J35/H35,""))</f>
        <v/>
      </c>
      <c r="M35" s="15">
        <f>IF($B35="","",VLOOKUP($D35,CAD,3,FALSE))</f>
        <v/>
      </c>
      <c r="N35" s="19">
        <f>IF($B35="","",INDEX(AP_PROD,MATCH($A35,AP_FECH,0)))</f>
        <v/>
      </c>
      <c r="O35" s="19">
        <f>IF($B35="","",J35*M35)</f>
        <v/>
      </c>
      <c r="P35" s="18">
        <f>IF($B35="","",IFERROR(N35/O35,""))</f>
        <v/>
      </c>
      <c r="Q35" s="19">
        <f>IF($B35="","",INDEX(AP_REF,MATCH($A35,AP_FECH,0)))</f>
        <v/>
      </c>
      <c r="R35" s="19">
        <f>IF($B35="","",INDEX(AP_RET,MATCH($A35,AP_FECH,0)))</f>
        <v/>
      </c>
      <c r="S35" s="19">
        <f>IF($B35="","",N35-Q35-R35)</f>
        <v/>
      </c>
      <c r="T35" s="18">
        <f>IF($B35="","",IFERROR(S35/N35,""))</f>
        <v/>
      </c>
      <c r="U35" s="18">
        <f>IF($B35="","",IFERROR(L35*P35*T35,""))</f>
        <v/>
      </c>
      <c r="V35" s="18">
        <f>IF($B35="","",IFERROR(S35/M35/H35,""))</f>
        <v/>
      </c>
      <c r="W35" s="20">
        <f>IF($B35="","",IFERROR(ROUND(U35-V35,6),""))</f>
        <v/>
      </c>
      <c r="X35" s="6">
        <f>IF($B35="","",IF(OR(K35="ERRO",W35&lt;&gt;0),"NÃO PUBLICAR",IF(P35&gt;1,"VERIFICAR: desempenho &gt; 100%","OK: as duas vias fecham")))</f>
        <v/>
      </c>
      <c r="Y35" s="15">
        <f>IF($B35="","",I35)</f>
        <v/>
      </c>
      <c r="Z35" s="15">
        <f>IF($B35="","",J35-N35/M35)</f>
        <v/>
      </c>
      <c r="AA35" s="15">
        <f>IF($B35="","",(Q35+R35)/M35)</f>
        <v/>
      </c>
      <c r="AB35" s="15">
        <f>IF($B35="","",S35/M35)</f>
        <v/>
      </c>
      <c r="AC35" s="15">
        <f>IF($B35="","",Y35+Z35+AA35+AB35)</f>
        <v/>
      </c>
      <c r="AD35" s="15">
        <f>IF($B35="","",AE35/M35)</f>
        <v/>
      </c>
      <c r="AE35" s="19">
        <f>IF($B35="","",INDEX(AP_ARR,MATCH($A35,AP_FECH,0)))</f>
        <v/>
      </c>
    </row>
    <row r="36">
      <c r="A36" s="12" t="n">
        <v>31</v>
      </c>
      <c r="B36" s="17">
        <f>IFERROR(INDEX(AP_DATA,MATCH($A36,AP_FECH,0)),"")</f>
        <v/>
      </c>
      <c r="C36" s="6">
        <f>IFERROR(INDEX(AP_TURNO,MATCH($A36,AP_FECH,0)),"")</f>
        <v/>
      </c>
      <c r="D36" s="6">
        <f>IFERROR(INDEX(AP_EQ,MATCH($A36,AP_FECH,0)),"")</f>
        <v/>
      </c>
      <c r="E36" s="12">
        <f>IF($B36="","",VLOOKUP($D36,CAD,5,FALSE))</f>
        <v/>
      </c>
      <c r="F36" s="12">
        <f>IF($B36="","",VLOOKUP($D36,CAD,5,FALSE)-VLOOKUP($D36,CAD,10,FALSE))</f>
        <v/>
      </c>
      <c r="G36" s="15">
        <f>IF($B36="","",SUMIFS(AP_DUR,AP_DATA,$B36,AP_TURNO,$C36,AP_EQ,$D36,AP_CLASSE,"Planejada"))</f>
        <v/>
      </c>
      <c r="H36" s="15">
        <f>IF($B36="","",E36-F36-G36)</f>
        <v/>
      </c>
      <c r="I36" s="15">
        <f>IF($B36="","",SUMIFS(AP_DUR,AP_DATA,$B36,AP_TURNO,$C36,AP_EQ,$D36,AP_CLASSE,"Não planejada"))</f>
        <v/>
      </c>
      <c r="J36" s="15">
        <f>IF($B36="","",H36-I36)</f>
        <v/>
      </c>
      <c r="K36" s="6">
        <f>IF($B36="","",IF(I36&gt;H36,"ERRO",""))</f>
        <v/>
      </c>
      <c r="L36" s="18">
        <f>IF($B36="","",IFERROR(J36/H36,""))</f>
        <v/>
      </c>
      <c r="M36" s="15">
        <f>IF($B36="","",VLOOKUP($D36,CAD,3,FALSE))</f>
        <v/>
      </c>
      <c r="N36" s="19">
        <f>IF($B36="","",INDEX(AP_PROD,MATCH($A36,AP_FECH,0)))</f>
        <v/>
      </c>
      <c r="O36" s="19">
        <f>IF($B36="","",J36*M36)</f>
        <v/>
      </c>
      <c r="P36" s="18">
        <f>IF($B36="","",IFERROR(N36/O36,""))</f>
        <v/>
      </c>
      <c r="Q36" s="19">
        <f>IF($B36="","",INDEX(AP_REF,MATCH($A36,AP_FECH,0)))</f>
        <v/>
      </c>
      <c r="R36" s="19">
        <f>IF($B36="","",INDEX(AP_RET,MATCH($A36,AP_FECH,0)))</f>
        <v/>
      </c>
      <c r="S36" s="19">
        <f>IF($B36="","",N36-Q36-R36)</f>
        <v/>
      </c>
      <c r="T36" s="18">
        <f>IF($B36="","",IFERROR(S36/N36,""))</f>
        <v/>
      </c>
      <c r="U36" s="18">
        <f>IF($B36="","",IFERROR(L36*P36*T36,""))</f>
        <v/>
      </c>
      <c r="V36" s="18">
        <f>IF($B36="","",IFERROR(S36/M36/H36,""))</f>
        <v/>
      </c>
      <c r="W36" s="20">
        <f>IF($B36="","",IFERROR(ROUND(U36-V36,6),""))</f>
        <v/>
      </c>
      <c r="X36" s="6">
        <f>IF($B36="","",IF(OR(K36="ERRO",W36&lt;&gt;0),"NÃO PUBLICAR",IF(P36&gt;1,"VERIFICAR: desempenho &gt; 100%","OK: as duas vias fecham")))</f>
        <v/>
      </c>
      <c r="Y36" s="15">
        <f>IF($B36="","",I36)</f>
        <v/>
      </c>
      <c r="Z36" s="15">
        <f>IF($B36="","",J36-N36/M36)</f>
        <v/>
      </c>
      <c r="AA36" s="15">
        <f>IF($B36="","",(Q36+R36)/M36)</f>
        <v/>
      </c>
      <c r="AB36" s="15">
        <f>IF($B36="","",S36/M36)</f>
        <v/>
      </c>
      <c r="AC36" s="15">
        <f>IF($B36="","",Y36+Z36+AA36+AB36)</f>
        <v/>
      </c>
      <c r="AD36" s="15">
        <f>IF($B36="","",AE36/M36)</f>
        <v/>
      </c>
      <c r="AE36" s="19">
        <f>IF($B36="","",INDEX(AP_ARR,MATCH($A36,AP_FECH,0)))</f>
        <v/>
      </c>
    </row>
    <row r="37">
      <c r="A37" s="12" t="n">
        <v>32</v>
      </c>
      <c r="B37" s="17">
        <f>IFERROR(INDEX(AP_DATA,MATCH($A37,AP_FECH,0)),"")</f>
        <v/>
      </c>
      <c r="C37" s="6">
        <f>IFERROR(INDEX(AP_TURNO,MATCH($A37,AP_FECH,0)),"")</f>
        <v/>
      </c>
      <c r="D37" s="6">
        <f>IFERROR(INDEX(AP_EQ,MATCH($A37,AP_FECH,0)),"")</f>
        <v/>
      </c>
      <c r="E37" s="12">
        <f>IF($B37="","",VLOOKUP($D37,CAD,5,FALSE))</f>
        <v/>
      </c>
      <c r="F37" s="12">
        <f>IF($B37="","",VLOOKUP($D37,CAD,5,FALSE)-VLOOKUP($D37,CAD,10,FALSE))</f>
        <v/>
      </c>
      <c r="G37" s="15">
        <f>IF($B37="","",SUMIFS(AP_DUR,AP_DATA,$B37,AP_TURNO,$C37,AP_EQ,$D37,AP_CLASSE,"Planejada"))</f>
        <v/>
      </c>
      <c r="H37" s="15">
        <f>IF($B37="","",E37-F37-G37)</f>
        <v/>
      </c>
      <c r="I37" s="15">
        <f>IF($B37="","",SUMIFS(AP_DUR,AP_DATA,$B37,AP_TURNO,$C37,AP_EQ,$D37,AP_CLASSE,"Não planejada"))</f>
        <v/>
      </c>
      <c r="J37" s="15">
        <f>IF($B37="","",H37-I37)</f>
        <v/>
      </c>
      <c r="K37" s="6">
        <f>IF($B37="","",IF(I37&gt;H37,"ERRO",""))</f>
        <v/>
      </c>
      <c r="L37" s="18">
        <f>IF($B37="","",IFERROR(J37/H37,""))</f>
        <v/>
      </c>
      <c r="M37" s="15">
        <f>IF($B37="","",VLOOKUP($D37,CAD,3,FALSE))</f>
        <v/>
      </c>
      <c r="N37" s="19">
        <f>IF($B37="","",INDEX(AP_PROD,MATCH($A37,AP_FECH,0)))</f>
        <v/>
      </c>
      <c r="O37" s="19">
        <f>IF($B37="","",J37*M37)</f>
        <v/>
      </c>
      <c r="P37" s="18">
        <f>IF($B37="","",IFERROR(N37/O37,""))</f>
        <v/>
      </c>
      <c r="Q37" s="19">
        <f>IF($B37="","",INDEX(AP_REF,MATCH($A37,AP_FECH,0)))</f>
        <v/>
      </c>
      <c r="R37" s="19">
        <f>IF($B37="","",INDEX(AP_RET,MATCH($A37,AP_FECH,0)))</f>
        <v/>
      </c>
      <c r="S37" s="19">
        <f>IF($B37="","",N37-Q37-R37)</f>
        <v/>
      </c>
      <c r="T37" s="18">
        <f>IF($B37="","",IFERROR(S37/N37,""))</f>
        <v/>
      </c>
      <c r="U37" s="18">
        <f>IF($B37="","",IFERROR(L37*P37*T37,""))</f>
        <v/>
      </c>
      <c r="V37" s="18">
        <f>IF($B37="","",IFERROR(S37/M37/H37,""))</f>
        <v/>
      </c>
      <c r="W37" s="20">
        <f>IF($B37="","",IFERROR(ROUND(U37-V37,6),""))</f>
        <v/>
      </c>
      <c r="X37" s="6">
        <f>IF($B37="","",IF(OR(K37="ERRO",W37&lt;&gt;0),"NÃO PUBLICAR",IF(P37&gt;1,"VERIFICAR: desempenho &gt; 100%","OK: as duas vias fecham")))</f>
        <v/>
      </c>
      <c r="Y37" s="15">
        <f>IF($B37="","",I37)</f>
        <v/>
      </c>
      <c r="Z37" s="15">
        <f>IF($B37="","",J37-N37/M37)</f>
        <v/>
      </c>
      <c r="AA37" s="15">
        <f>IF($B37="","",(Q37+R37)/M37)</f>
        <v/>
      </c>
      <c r="AB37" s="15">
        <f>IF($B37="","",S37/M37)</f>
        <v/>
      </c>
      <c r="AC37" s="15">
        <f>IF($B37="","",Y37+Z37+AA37+AB37)</f>
        <v/>
      </c>
      <c r="AD37" s="15">
        <f>IF($B37="","",AE37/M37)</f>
        <v/>
      </c>
      <c r="AE37" s="19">
        <f>IF($B37="","",INDEX(AP_ARR,MATCH($A37,AP_FECH,0)))</f>
        <v/>
      </c>
    </row>
    <row r="38">
      <c r="A38" s="12" t="n">
        <v>33</v>
      </c>
      <c r="B38" s="17">
        <f>IFERROR(INDEX(AP_DATA,MATCH($A38,AP_FECH,0)),"")</f>
        <v/>
      </c>
      <c r="C38" s="6">
        <f>IFERROR(INDEX(AP_TURNO,MATCH($A38,AP_FECH,0)),"")</f>
        <v/>
      </c>
      <c r="D38" s="6">
        <f>IFERROR(INDEX(AP_EQ,MATCH($A38,AP_FECH,0)),"")</f>
        <v/>
      </c>
      <c r="E38" s="12">
        <f>IF($B38="","",VLOOKUP($D38,CAD,5,FALSE))</f>
        <v/>
      </c>
      <c r="F38" s="12">
        <f>IF($B38="","",VLOOKUP($D38,CAD,5,FALSE)-VLOOKUP($D38,CAD,10,FALSE))</f>
        <v/>
      </c>
      <c r="G38" s="15">
        <f>IF($B38="","",SUMIFS(AP_DUR,AP_DATA,$B38,AP_TURNO,$C38,AP_EQ,$D38,AP_CLASSE,"Planejada"))</f>
        <v/>
      </c>
      <c r="H38" s="15">
        <f>IF($B38="","",E38-F38-G38)</f>
        <v/>
      </c>
      <c r="I38" s="15">
        <f>IF($B38="","",SUMIFS(AP_DUR,AP_DATA,$B38,AP_TURNO,$C38,AP_EQ,$D38,AP_CLASSE,"Não planejada"))</f>
        <v/>
      </c>
      <c r="J38" s="15">
        <f>IF($B38="","",H38-I38)</f>
        <v/>
      </c>
      <c r="K38" s="6">
        <f>IF($B38="","",IF(I38&gt;H38,"ERRO",""))</f>
        <v/>
      </c>
      <c r="L38" s="18">
        <f>IF($B38="","",IFERROR(J38/H38,""))</f>
        <v/>
      </c>
      <c r="M38" s="15">
        <f>IF($B38="","",VLOOKUP($D38,CAD,3,FALSE))</f>
        <v/>
      </c>
      <c r="N38" s="19">
        <f>IF($B38="","",INDEX(AP_PROD,MATCH($A38,AP_FECH,0)))</f>
        <v/>
      </c>
      <c r="O38" s="19">
        <f>IF($B38="","",J38*M38)</f>
        <v/>
      </c>
      <c r="P38" s="18">
        <f>IF($B38="","",IFERROR(N38/O38,""))</f>
        <v/>
      </c>
      <c r="Q38" s="19">
        <f>IF($B38="","",INDEX(AP_REF,MATCH($A38,AP_FECH,0)))</f>
        <v/>
      </c>
      <c r="R38" s="19">
        <f>IF($B38="","",INDEX(AP_RET,MATCH($A38,AP_FECH,0)))</f>
        <v/>
      </c>
      <c r="S38" s="19">
        <f>IF($B38="","",N38-Q38-R38)</f>
        <v/>
      </c>
      <c r="T38" s="18">
        <f>IF($B38="","",IFERROR(S38/N38,""))</f>
        <v/>
      </c>
      <c r="U38" s="18">
        <f>IF($B38="","",IFERROR(L38*P38*T38,""))</f>
        <v/>
      </c>
      <c r="V38" s="18">
        <f>IF($B38="","",IFERROR(S38/M38/H38,""))</f>
        <v/>
      </c>
      <c r="W38" s="20">
        <f>IF($B38="","",IFERROR(ROUND(U38-V38,6),""))</f>
        <v/>
      </c>
      <c r="X38" s="6">
        <f>IF($B38="","",IF(OR(K38="ERRO",W38&lt;&gt;0),"NÃO PUBLICAR",IF(P38&gt;1,"VERIFICAR: desempenho &gt; 100%","OK: as duas vias fecham")))</f>
        <v/>
      </c>
      <c r="Y38" s="15">
        <f>IF($B38="","",I38)</f>
        <v/>
      </c>
      <c r="Z38" s="15">
        <f>IF($B38="","",J38-N38/M38)</f>
        <v/>
      </c>
      <c r="AA38" s="15">
        <f>IF($B38="","",(Q38+R38)/M38)</f>
        <v/>
      </c>
      <c r="AB38" s="15">
        <f>IF($B38="","",S38/M38)</f>
        <v/>
      </c>
      <c r="AC38" s="15">
        <f>IF($B38="","",Y38+Z38+AA38+AB38)</f>
        <v/>
      </c>
      <c r="AD38" s="15">
        <f>IF($B38="","",AE38/M38)</f>
        <v/>
      </c>
      <c r="AE38" s="19">
        <f>IF($B38="","",INDEX(AP_ARR,MATCH($A38,AP_FECH,0)))</f>
        <v/>
      </c>
    </row>
    <row r="39">
      <c r="A39" s="12" t="n">
        <v>34</v>
      </c>
      <c r="B39" s="17">
        <f>IFERROR(INDEX(AP_DATA,MATCH($A39,AP_FECH,0)),"")</f>
        <v/>
      </c>
      <c r="C39" s="6">
        <f>IFERROR(INDEX(AP_TURNO,MATCH($A39,AP_FECH,0)),"")</f>
        <v/>
      </c>
      <c r="D39" s="6">
        <f>IFERROR(INDEX(AP_EQ,MATCH($A39,AP_FECH,0)),"")</f>
        <v/>
      </c>
      <c r="E39" s="12">
        <f>IF($B39="","",VLOOKUP($D39,CAD,5,FALSE))</f>
        <v/>
      </c>
      <c r="F39" s="12">
        <f>IF($B39="","",VLOOKUP($D39,CAD,5,FALSE)-VLOOKUP($D39,CAD,10,FALSE))</f>
        <v/>
      </c>
      <c r="G39" s="15">
        <f>IF($B39="","",SUMIFS(AP_DUR,AP_DATA,$B39,AP_TURNO,$C39,AP_EQ,$D39,AP_CLASSE,"Planejada"))</f>
        <v/>
      </c>
      <c r="H39" s="15">
        <f>IF($B39="","",E39-F39-G39)</f>
        <v/>
      </c>
      <c r="I39" s="15">
        <f>IF($B39="","",SUMIFS(AP_DUR,AP_DATA,$B39,AP_TURNO,$C39,AP_EQ,$D39,AP_CLASSE,"Não planejada"))</f>
        <v/>
      </c>
      <c r="J39" s="15">
        <f>IF($B39="","",H39-I39)</f>
        <v/>
      </c>
      <c r="K39" s="6">
        <f>IF($B39="","",IF(I39&gt;H39,"ERRO",""))</f>
        <v/>
      </c>
      <c r="L39" s="18">
        <f>IF($B39="","",IFERROR(J39/H39,""))</f>
        <v/>
      </c>
      <c r="M39" s="15">
        <f>IF($B39="","",VLOOKUP($D39,CAD,3,FALSE))</f>
        <v/>
      </c>
      <c r="N39" s="19">
        <f>IF($B39="","",INDEX(AP_PROD,MATCH($A39,AP_FECH,0)))</f>
        <v/>
      </c>
      <c r="O39" s="19">
        <f>IF($B39="","",J39*M39)</f>
        <v/>
      </c>
      <c r="P39" s="18">
        <f>IF($B39="","",IFERROR(N39/O39,""))</f>
        <v/>
      </c>
      <c r="Q39" s="19">
        <f>IF($B39="","",INDEX(AP_REF,MATCH($A39,AP_FECH,0)))</f>
        <v/>
      </c>
      <c r="R39" s="19">
        <f>IF($B39="","",INDEX(AP_RET,MATCH($A39,AP_FECH,0)))</f>
        <v/>
      </c>
      <c r="S39" s="19">
        <f>IF($B39="","",N39-Q39-R39)</f>
        <v/>
      </c>
      <c r="T39" s="18">
        <f>IF($B39="","",IFERROR(S39/N39,""))</f>
        <v/>
      </c>
      <c r="U39" s="18">
        <f>IF($B39="","",IFERROR(L39*P39*T39,""))</f>
        <v/>
      </c>
      <c r="V39" s="18">
        <f>IF($B39="","",IFERROR(S39/M39/H39,""))</f>
        <v/>
      </c>
      <c r="W39" s="20">
        <f>IF($B39="","",IFERROR(ROUND(U39-V39,6),""))</f>
        <v/>
      </c>
      <c r="X39" s="6">
        <f>IF($B39="","",IF(OR(K39="ERRO",W39&lt;&gt;0),"NÃO PUBLICAR",IF(P39&gt;1,"VERIFICAR: desempenho &gt; 100%","OK: as duas vias fecham")))</f>
        <v/>
      </c>
      <c r="Y39" s="15">
        <f>IF($B39="","",I39)</f>
        <v/>
      </c>
      <c r="Z39" s="15">
        <f>IF($B39="","",J39-N39/M39)</f>
        <v/>
      </c>
      <c r="AA39" s="15">
        <f>IF($B39="","",(Q39+R39)/M39)</f>
        <v/>
      </c>
      <c r="AB39" s="15">
        <f>IF($B39="","",S39/M39)</f>
        <v/>
      </c>
      <c r="AC39" s="15">
        <f>IF($B39="","",Y39+Z39+AA39+AB39)</f>
        <v/>
      </c>
      <c r="AD39" s="15">
        <f>IF($B39="","",AE39/M39)</f>
        <v/>
      </c>
      <c r="AE39" s="19">
        <f>IF($B39="","",INDEX(AP_ARR,MATCH($A39,AP_FECH,0)))</f>
        <v/>
      </c>
    </row>
    <row r="40">
      <c r="A40" s="12" t="n">
        <v>35</v>
      </c>
      <c r="B40" s="17">
        <f>IFERROR(INDEX(AP_DATA,MATCH($A40,AP_FECH,0)),"")</f>
        <v/>
      </c>
      <c r="C40" s="6">
        <f>IFERROR(INDEX(AP_TURNO,MATCH($A40,AP_FECH,0)),"")</f>
        <v/>
      </c>
      <c r="D40" s="6">
        <f>IFERROR(INDEX(AP_EQ,MATCH($A40,AP_FECH,0)),"")</f>
        <v/>
      </c>
      <c r="E40" s="12">
        <f>IF($B40="","",VLOOKUP($D40,CAD,5,FALSE))</f>
        <v/>
      </c>
      <c r="F40" s="12">
        <f>IF($B40="","",VLOOKUP($D40,CAD,5,FALSE)-VLOOKUP($D40,CAD,10,FALSE))</f>
        <v/>
      </c>
      <c r="G40" s="15">
        <f>IF($B40="","",SUMIFS(AP_DUR,AP_DATA,$B40,AP_TURNO,$C40,AP_EQ,$D40,AP_CLASSE,"Planejada"))</f>
        <v/>
      </c>
      <c r="H40" s="15">
        <f>IF($B40="","",E40-F40-G40)</f>
        <v/>
      </c>
      <c r="I40" s="15">
        <f>IF($B40="","",SUMIFS(AP_DUR,AP_DATA,$B40,AP_TURNO,$C40,AP_EQ,$D40,AP_CLASSE,"Não planejada"))</f>
        <v/>
      </c>
      <c r="J40" s="15">
        <f>IF($B40="","",H40-I40)</f>
        <v/>
      </c>
      <c r="K40" s="6">
        <f>IF($B40="","",IF(I40&gt;H40,"ERRO",""))</f>
        <v/>
      </c>
      <c r="L40" s="18">
        <f>IF($B40="","",IFERROR(J40/H40,""))</f>
        <v/>
      </c>
      <c r="M40" s="15">
        <f>IF($B40="","",VLOOKUP($D40,CAD,3,FALSE))</f>
        <v/>
      </c>
      <c r="N40" s="19">
        <f>IF($B40="","",INDEX(AP_PROD,MATCH($A40,AP_FECH,0)))</f>
        <v/>
      </c>
      <c r="O40" s="19">
        <f>IF($B40="","",J40*M40)</f>
        <v/>
      </c>
      <c r="P40" s="18">
        <f>IF($B40="","",IFERROR(N40/O40,""))</f>
        <v/>
      </c>
      <c r="Q40" s="19">
        <f>IF($B40="","",INDEX(AP_REF,MATCH($A40,AP_FECH,0)))</f>
        <v/>
      </c>
      <c r="R40" s="19">
        <f>IF($B40="","",INDEX(AP_RET,MATCH($A40,AP_FECH,0)))</f>
        <v/>
      </c>
      <c r="S40" s="19">
        <f>IF($B40="","",N40-Q40-R40)</f>
        <v/>
      </c>
      <c r="T40" s="18">
        <f>IF($B40="","",IFERROR(S40/N40,""))</f>
        <v/>
      </c>
      <c r="U40" s="18">
        <f>IF($B40="","",IFERROR(L40*P40*T40,""))</f>
        <v/>
      </c>
      <c r="V40" s="18">
        <f>IF($B40="","",IFERROR(S40/M40/H40,""))</f>
        <v/>
      </c>
      <c r="W40" s="20">
        <f>IF($B40="","",IFERROR(ROUND(U40-V40,6),""))</f>
        <v/>
      </c>
      <c r="X40" s="6">
        <f>IF($B40="","",IF(OR(K40="ERRO",W40&lt;&gt;0),"NÃO PUBLICAR",IF(P40&gt;1,"VERIFICAR: desempenho &gt; 100%","OK: as duas vias fecham")))</f>
        <v/>
      </c>
      <c r="Y40" s="15">
        <f>IF($B40="","",I40)</f>
        <v/>
      </c>
      <c r="Z40" s="15">
        <f>IF($B40="","",J40-N40/M40)</f>
        <v/>
      </c>
      <c r="AA40" s="15">
        <f>IF($B40="","",(Q40+R40)/M40)</f>
        <v/>
      </c>
      <c r="AB40" s="15">
        <f>IF($B40="","",S40/M40)</f>
        <v/>
      </c>
      <c r="AC40" s="15">
        <f>IF($B40="","",Y40+Z40+AA40+AB40)</f>
        <v/>
      </c>
      <c r="AD40" s="15">
        <f>IF($B40="","",AE40/M40)</f>
        <v/>
      </c>
      <c r="AE40" s="19">
        <f>IF($B40="","",INDEX(AP_ARR,MATCH($A40,AP_FECH,0)))</f>
        <v/>
      </c>
    </row>
    <row r="41">
      <c r="A41" s="12" t="n">
        <v>36</v>
      </c>
      <c r="B41" s="17">
        <f>IFERROR(INDEX(AP_DATA,MATCH($A41,AP_FECH,0)),"")</f>
        <v/>
      </c>
      <c r="C41" s="6">
        <f>IFERROR(INDEX(AP_TURNO,MATCH($A41,AP_FECH,0)),"")</f>
        <v/>
      </c>
      <c r="D41" s="6">
        <f>IFERROR(INDEX(AP_EQ,MATCH($A41,AP_FECH,0)),"")</f>
        <v/>
      </c>
      <c r="E41" s="12">
        <f>IF($B41="","",VLOOKUP($D41,CAD,5,FALSE))</f>
        <v/>
      </c>
      <c r="F41" s="12">
        <f>IF($B41="","",VLOOKUP($D41,CAD,5,FALSE)-VLOOKUP($D41,CAD,10,FALSE))</f>
        <v/>
      </c>
      <c r="G41" s="15">
        <f>IF($B41="","",SUMIFS(AP_DUR,AP_DATA,$B41,AP_TURNO,$C41,AP_EQ,$D41,AP_CLASSE,"Planejada"))</f>
        <v/>
      </c>
      <c r="H41" s="15">
        <f>IF($B41="","",E41-F41-G41)</f>
        <v/>
      </c>
      <c r="I41" s="15">
        <f>IF($B41="","",SUMIFS(AP_DUR,AP_DATA,$B41,AP_TURNO,$C41,AP_EQ,$D41,AP_CLASSE,"Não planejada"))</f>
        <v/>
      </c>
      <c r="J41" s="15">
        <f>IF($B41="","",H41-I41)</f>
        <v/>
      </c>
      <c r="K41" s="6">
        <f>IF($B41="","",IF(I41&gt;H41,"ERRO",""))</f>
        <v/>
      </c>
      <c r="L41" s="18">
        <f>IF($B41="","",IFERROR(J41/H41,""))</f>
        <v/>
      </c>
      <c r="M41" s="15">
        <f>IF($B41="","",VLOOKUP($D41,CAD,3,FALSE))</f>
        <v/>
      </c>
      <c r="N41" s="19">
        <f>IF($B41="","",INDEX(AP_PROD,MATCH($A41,AP_FECH,0)))</f>
        <v/>
      </c>
      <c r="O41" s="19">
        <f>IF($B41="","",J41*M41)</f>
        <v/>
      </c>
      <c r="P41" s="18">
        <f>IF($B41="","",IFERROR(N41/O41,""))</f>
        <v/>
      </c>
      <c r="Q41" s="19">
        <f>IF($B41="","",INDEX(AP_REF,MATCH($A41,AP_FECH,0)))</f>
        <v/>
      </c>
      <c r="R41" s="19">
        <f>IF($B41="","",INDEX(AP_RET,MATCH($A41,AP_FECH,0)))</f>
        <v/>
      </c>
      <c r="S41" s="19">
        <f>IF($B41="","",N41-Q41-R41)</f>
        <v/>
      </c>
      <c r="T41" s="18">
        <f>IF($B41="","",IFERROR(S41/N41,""))</f>
        <v/>
      </c>
      <c r="U41" s="18">
        <f>IF($B41="","",IFERROR(L41*P41*T41,""))</f>
        <v/>
      </c>
      <c r="V41" s="18">
        <f>IF($B41="","",IFERROR(S41/M41/H41,""))</f>
        <v/>
      </c>
      <c r="W41" s="20">
        <f>IF($B41="","",IFERROR(ROUND(U41-V41,6),""))</f>
        <v/>
      </c>
      <c r="X41" s="6">
        <f>IF($B41="","",IF(OR(K41="ERRO",W41&lt;&gt;0),"NÃO PUBLICAR",IF(P41&gt;1,"VERIFICAR: desempenho &gt; 100%","OK: as duas vias fecham")))</f>
        <v/>
      </c>
      <c r="Y41" s="15">
        <f>IF($B41="","",I41)</f>
        <v/>
      </c>
      <c r="Z41" s="15">
        <f>IF($B41="","",J41-N41/M41)</f>
        <v/>
      </c>
      <c r="AA41" s="15">
        <f>IF($B41="","",(Q41+R41)/M41)</f>
        <v/>
      </c>
      <c r="AB41" s="15">
        <f>IF($B41="","",S41/M41)</f>
        <v/>
      </c>
      <c r="AC41" s="15">
        <f>IF($B41="","",Y41+Z41+AA41+AB41)</f>
        <v/>
      </c>
      <c r="AD41" s="15">
        <f>IF($B41="","",AE41/M41)</f>
        <v/>
      </c>
      <c r="AE41" s="19">
        <f>IF($B41="","",INDEX(AP_ARR,MATCH($A41,AP_FECH,0)))</f>
        <v/>
      </c>
    </row>
    <row r="42">
      <c r="A42" s="12" t="n">
        <v>37</v>
      </c>
      <c r="B42" s="17">
        <f>IFERROR(INDEX(AP_DATA,MATCH($A42,AP_FECH,0)),"")</f>
        <v/>
      </c>
      <c r="C42" s="6">
        <f>IFERROR(INDEX(AP_TURNO,MATCH($A42,AP_FECH,0)),"")</f>
        <v/>
      </c>
      <c r="D42" s="6">
        <f>IFERROR(INDEX(AP_EQ,MATCH($A42,AP_FECH,0)),"")</f>
        <v/>
      </c>
      <c r="E42" s="12">
        <f>IF($B42="","",VLOOKUP($D42,CAD,5,FALSE))</f>
        <v/>
      </c>
      <c r="F42" s="12">
        <f>IF($B42="","",VLOOKUP($D42,CAD,5,FALSE)-VLOOKUP($D42,CAD,10,FALSE))</f>
        <v/>
      </c>
      <c r="G42" s="15">
        <f>IF($B42="","",SUMIFS(AP_DUR,AP_DATA,$B42,AP_TURNO,$C42,AP_EQ,$D42,AP_CLASSE,"Planejada"))</f>
        <v/>
      </c>
      <c r="H42" s="15">
        <f>IF($B42="","",E42-F42-G42)</f>
        <v/>
      </c>
      <c r="I42" s="15">
        <f>IF($B42="","",SUMIFS(AP_DUR,AP_DATA,$B42,AP_TURNO,$C42,AP_EQ,$D42,AP_CLASSE,"Não planejada"))</f>
        <v/>
      </c>
      <c r="J42" s="15">
        <f>IF($B42="","",H42-I42)</f>
        <v/>
      </c>
      <c r="K42" s="6">
        <f>IF($B42="","",IF(I42&gt;H42,"ERRO",""))</f>
        <v/>
      </c>
      <c r="L42" s="18">
        <f>IF($B42="","",IFERROR(J42/H42,""))</f>
        <v/>
      </c>
      <c r="M42" s="15">
        <f>IF($B42="","",VLOOKUP($D42,CAD,3,FALSE))</f>
        <v/>
      </c>
      <c r="N42" s="19">
        <f>IF($B42="","",INDEX(AP_PROD,MATCH($A42,AP_FECH,0)))</f>
        <v/>
      </c>
      <c r="O42" s="19">
        <f>IF($B42="","",J42*M42)</f>
        <v/>
      </c>
      <c r="P42" s="18">
        <f>IF($B42="","",IFERROR(N42/O42,""))</f>
        <v/>
      </c>
      <c r="Q42" s="19">
        <f>IF($B42="","",INDEX(AP_REF,MATCH($A42,AP_FECH,0)))</f>
        <v/>
      </c>
      <c r="R42" s="19">
        <f>IF($B42="","",INDEX(AP_RET,MATCH($A42,AP_FECH,0)))</f>
        <v/>
      </c>
      <c r="S42" s="19">
        <f>IF($B42="","",N42-Q42-R42)</f>
        <v/>
      </c>
      <c r="T42" s="18">
        <f>IF($B42="","",IFERROR(S42/N42,""))</f>
        <v/>
      </c>
      <c r="U42" s="18">
        <f>IF($B42="","",IFERROR(L42*P42*T42,""))</f>
        <v/>
      </c>
      <c r="V42" s="18">
        <f>IF($B42="","",IFERROR(S42/M42/H42,""))</f>
        <v/>
      </c>
      <c r="W42" s="20">
        <f>IF($B42="","",IFERROR(ROUND(U42-V42,6),""))</f>
        <v/>
      </c>
      <c r="X42" s="6">
        <f>IF($B42="","",IF(OR(K42="ERRO",W42&lt;&gt;0),"NÃO PUBLICAR",IF(P42&gt;1,"VERIFICAR: desempenho &gt; 100%","OK: as duas vias fecham")))</f>
        <v/>
      </c>
      <c r="Y42" s="15">
        <f>IF($B42="","",I42)</f>
        <v/>
      </c>
      <c r="Z42" s="15">
        <f>IF($B42="","",J42-N42/M42)</f>
        <v/>
      </c>
      <c r="AA42" s="15">
        <f>IF($B42="","",(Q42+R42)/M42)</f>
        <v/>
      </c>
      <c r="AB42" s="15">
        <f>IF($B42="","",S42/M42)</f>
        <v/>
      </c>
      <c r="AC42" s="15">
        <f>IF($B42="","",Y42+Z42+AA42+AB42)</f>
        <v/>
      </c>
      <c r="AD42" s="15">
        <f>IF($B42="","",AE42/M42)</f>
        <v/>
      </c>
      <c r="AE42" s="19">
        <f>IF($B42="","",INDEX(AP_ARR,MATCH($A42,AP_FECH,0)))</f>
        <v/>
      </c>
    </row>
    <row r="43">
      <c r="A43" s="12" t="n">
        <v>38</v>
      </c>
      <c r="B43" s="17">
        <f>IFERROR(INDEX(AP_DATA,MATCH($A43,AP_FECH,0)),"")</f>
        <v/>
      </c>
      <c r="C43" s="6">
        <f>IFERROR(INDEX(AP_TURNO,MATCH($A43,AP_FECH,0)),"")</f>
        <v/>
      </c>
      <c r="D43" s="6">
        <f>IFERROR(INDEX(AP_EQ,MATCH($A43,AP_FECH,0)),"")</f>
        <v/>
      </c>
      <c r="E43" s="12">
        <f>IF($B43="","",VLOOKUP($D43,CAD,5,FALSE))</f>
        <v/>
      </c>
      <c r="F43" s="12">
        <f>IF($B43="","",VLOOKUP($D43,CAD,5,FALSE)-VLOOKUP($D43,CAD,10,FALSE))</f>
        <v/>
      </c>
      <c r="G43" s="15">
        <f>IF($B43="","",SUMIFS(AP_DUR,AP_DATA,$B43,AP_TURNO,$C43,AP_EQ,$D43,AP_CLASSE,"Planejada"))</f>
        <v/>
      </c>
      <c r="H43" s="15">
        <f>IF($B43="","",E43-F43-G43)</f>
        <v/>
      </c>
      <c r="I43" s="15">
        <f>IF($B43="","",SUMIFS(AP_DUR,AP_DATA,$B43,AP_TURNO,$C43,AP_EQ,$D43,AP_CLASSE,"Não planejada"))</f>
        <v/>
      </c>
      <c r="J43" s="15">
        <f>IF($B43="","",H43-I43)</f>
        <v/>
      </c>
      <c r="K43" s="6">
        <f>IF($B43="","",IF(I43&gt;H43,"ERRO",""))</f>
        <v/>
      </c>
      <c r="L43" s="18">
        <f>IF($B43="","",IFERROR(J43/H43,""))</f>
        <v/>
      </c>
      <c r="M43" s="15">
        <f>IF($B43="","",VLOOKUP($D43,CAD,3,FALSE))</f>
        <v/>
      </c>
      <c r="N43" s="19">
        <f>IF($B43="","",INDEX(AP_PROD,MATCH($A43,AP_FECH,0)))</f>
        <v/>
      </c>
      <c r="O43" s="19">
        <f>IF($B43="","",J43*M43)</f>
        <v/>
      </c>
      <c r="P43" s="18">
        <f>IF($B43="","",IFERROR(N43/O43,""))</f>
        <v/>
      </c>
      <c r="Q43" s="19">
        <f>IF($B43="","",INDEX(AP_REF,MATCH($A43,AP_FECH,0)))</f>
        <v/>
      </c>
      <c r="R43" s="19">
        <f>IF($B43="","",INDEX(AP_RET,MATCH($A43,AP_FECH,0)))</f>
        <v/>
      </c>
      <c r="S43" s="19">
        <f>IF($B43="","",N43-Q43-R43)</f>
        <v/>
      </c>
      <c r="T43" s="18">
        <f>IF($B43="","",IFERROR(S43/N43,""))</f>
        <v/>
      </c>
      <c r="U43" s="18">
        <f>IF($B43="","",IFERROR(L43*P43*T43,""))</f>
        <v/>
      </c>
      <c r="V43" s="18">
        <f>IF($B43="","",IFERROR(S43/M43/H43,""))</f>
        <v/>
      </c>
      <c r="W43" s="20">
        <f>IF($B43="","",IFERROR(ROUND(U43-V43,6),""))</f>
        <v/>
      </c>
      <c r="X43" s="6">
        <f>IF($B43="","",IF(OR(K43="ERRO",W43&lt;&gt;0),"NÃO PUBLICAR",IF(P43&gt;1,"VERIFICAR: desempenho &gt; 100%","OK: as duas vias fecham")))</f>
        <v/>
      </c>
      <c r="Y43" s="15">
        <f>IF($B43="","",I43)</f>
        <v/>
      </c>
      <c r="Z43" s="15">
        <f>IF($B43="","",J43-N43/M43)</f>
        <v/>
      </c>
      <c r="AA43" s="15">
        <f>IF($B43="","",(Q43+R43)/M43)</f>
        <v/>
      </c>
      <c r="AB43" s="15">
        <f>IF($B43="","",S43/M43)</f>
        <v/>
      </c>
      <c r="AC43" s="15">
        <f>IF($B43="","",Y43+Z43+AA43+AB43)</f>
        <v/>
      </c>
      <c r="AD43" s="15">
        <f>IF($B43="","",AE43/M43)</f>
        <v/>
      </c>
      <c r="AE43" s="19">
        <f>IF($B43="","",INDEX(AP_ARR,MATCH($A43,AP_FECH,0)))</f>
        <v/>
      </c>
    </row>
    <row r="44">
      <c r="A44" s="12" t="n">
        <v>39</v>
      </c>
      <c r="B44" s="17">
        <f>IFERROR(INDEX(AP_DATA,MATCH($A44,AP_FECH,0)),"")</f>
        <v/>
      </c>
      <c r="C44" s="6">
        <f>IFERROR(INDEX(AP_TURNO,MATCH($A44,AP_FECH,0)),"")</f>
        <v/>
      </c>
      <c r="D44" s="6">
        <f>IFERROR(INDEX(AP_EQ,MATCH($A44,AP_FECH,0)),"")</f>
        <v/>
      </c>
      <c r="E44" s="12">
        <f>IF($B44="","",VLOOKUP($D44,CAD,5,FALSE))</f>
        <v/>
      </c>
      <c r="F44" s="12">
        <f>IF($B44="","",VLOOKUP($D44,CAD,5,FALSE)-VLOOKUP($D44,CAD,10,FALSE))</f>
        <v/>
      </c>
      <c r="G44" s="15">
        <f>IF($B44="","",SUMIFS(AP_DUR,AP_DATA,$B44,AP_TURNO,$C44,AP_EQ,$D44,AP_CLASSE,"Planejada"))</f>
        <v/>
      </c>
      <c r="H44" s="15">
        <f>IF($B44="","",E44-F44-G44)</f>
        <v/>
      </c>
      <c r="I44" s="15">
        <f>IF($B44="","",SUMIFS(AP_DUR,AP_DATA,$B44,AP_TURNO,$C44,AP_EQ,$D44,AP_CLASSE,"Não planejada"))</f>
        <v/>
      </c>
      <c r="J44" s="15">
        <f>IF($B44="","",H44-I44)</f>
        <v/>
      </c>
      <c r="K44" s="6">
        <f>IF($B44="","",IF(I44&gt;H44,"ERRO",""))</f>
        <v/>
      </c>
      <c r="L44" s="18">
        <f>IF($B44="","",IFERROR(J44/H44,""))</f>
        <v/>
      </c>
      <c r="M44" s="15">
        <f>IF($B44="","",VLOOKUP($D44,CAD,3,FALSE))</f>
        <v/>
      </c>
      <c r="N44" s="19">
        <f>IF($B44="","",INDEX(AP_PROD,MATCH($A44,AP_FECH,0)))</f>
        <v/>
      </c>
      <c r="O44" s="19">
        <f>IF($B44="","",J44*M44)</f>
        <v/>
      </c>
      <c r="P44" s="18">
        <f>IF($B44="","",IFERROR(N44/O44,""))</f>
        <v/>
      </c>
      <c r="Q44" s="19">
        <f>IF($B44="","",INDEX(AP_REF,MATCH($A44,AP_FECH,0)))</f>
        <v/>
      </c>
      <c r="R44" s="19">
        <f>IF($B44="","",INDEX(AP_RET,MATCH($A44,AP_FECH,0)))</f>
        <v/>
      </c>
      <c r="S44" s="19">
        <f>IF($B44="","",N44-Q44-R44)</f>
        <v/>
      </c>
      <c r="T44" s="18">
        <f>IF($B44="","",IFERROR(S44/N44,""))</f>
        <v/>
      </c>
      <c r="U44" s="18">
        <f>IF($B44="","",IFERROR(L44*P44*T44,""))</f>
        <v/>
      </c>
      <c r="V44" s="18">
        <f>IF($B44="","",IFERROR(S44/M44/H44,""))</f>
        <v/>
      </c>
      <c r="W44" s="20">
        <f>IF($B44="","",IFERROR(ROUND(U44-V44,6),""))</f>
        <v/>
      </c>
      <c r="X44" s="6">
        <f>IF($B44="","",IF(OR(K44="ERRO",W44&lt;&gt;0),"NÃO PUBLICAR",IF(P44&gt;1,"VERIFICAR: desempenho &gt; 100%","OK: as duas vias fecham")))</f>
        <v/>
      </c>
      <c r="Y44" s="15">
        <f>IF($B44="","",I44)</f>
        <v/>
      </c>
      <c r="Z44" s="15">
        <f>IF($B44="","",J44-N44/M44)</f>
        <v/>
      </c>
      <c r="AA44" s="15">
        <f>IF($B44="","",(Q44+R44)/M44)</f>
        <v/>
      </c>
      <c r="AB44" s="15">
        <f>IF($B44="","",S44/M44)</f>
        <v/>
      </c>
      <c r="AC44" s="15">
        <f>IF($B44="","",Y44+Z44+AA44+AB44)</f>
        <v/>
      </c>
      <c r="AD44" s="15">
        <f>IF($B44="","",AE44/M44)</f>
        <v/>
      </c>
      <c r="AE44" s="19">
        <f>IF($B44="","",INDEX(AP_ARR,MATCH($A44,AP_FECH,0)))</f>
        <v/>
      </c>
    </row>
    <row r="45">
      <c r="A45" s="12" t="n">
        <v>40</v>
      </c>
      <c r="B45" s="17">
        <f>IFERROR(INDEX(AP_DATA,MATCH($A45,AP_FECH,0)),"")</f>
        <v/>
      </c>
      <c r="C45" s="6">
        <f>IFERROR(INDEX(AP_TURNO,MATCH($A45,AP_FECH,0)),"")</f>
        <v/>
      </c>
      <c r="D45" s="6">
        <f>IFERROR(INDEX(AP_EQ,MATCH($A45,AP_FECH,0)),"")</f>
        <v/>
      </c>
      <c r="E45" s="12">
        <f>IF($B45="","",VLOOKUP($D45,CAD,5,FALSE))</f>
        <v/>
      </c>
      <c r="F45" s="12">
        <f>IF($B45="","",VLOOKUP($D45,CAD,5,FALSE)-VLOOKUP($D45,CAD,10,FALSE))</f>
        <v/>
      </c>
      <c r="G45" s="15">
        <f>IF($B45="","",SUMIFS(AP_DUR,AP_DATA,$B45,AP_TURNO,$C45,AP_EQ,$D45,AP_CLASSE,"Planejada"))</f>
        <v/>
      </c>
      <c r="H45" s="15">
        <f>IF($B45="","",E45-F45-G45)</f>
        <v/>
      </c>
      <c r="I45" s="15">
        <f>IF($B45="","",SUMIFS(AP_DUR,AP_DATA,$B45,AP_TURNO,$C45,AP_EQ,$D45,AP_CLASSE,"Não planejada"))</f>
        <v/>
      </c>
      <c r="J45" s="15">
        <f>IF($B45="","",H45-I45)</f>
        <v/>
      </c>
      <c r="K45" s="6">
        <f>IF($B45="","",IF(I45&gt;H45,"ERRO",""))</f>
        <v/>
      </c>
      <c r="L45" s="18">
        <f>IF($B45="","",IFERROR(J45/H45,""))</f>
        <v/>
      </c>
      <c r="M45" s="15">
        <f>IF($B45="","",VLOOKUP($D45,CAD,3,FALSE))</f>
        <v/>
      </c>
      <c r="N45" s="19">
        <f>IF($B45="","",INDEX(AP_PROD,MATCH($A45,AP_FECH,0)))</f>
        <v/>
      </c>
      <c r="O45" s="19">
        <f>IF($B45="","",J45*M45)</f>
        <v/>
      </c>
      <c r="P45" s="18">
        <f>IF($B45="","",IFERROR(N45/O45,""))</f>
        <v/>
      </c>
      <c r="Q45" s="19">
        <f>IF($B45="","",INDEX(AP_REF,MATCH($A45,AP_FECH,0)))</f>
        <v/>
      </c>
      <c r="R45" s="19">
        <f>IF($B45="","",INDEX(AP_RET,MATCH($A45,AP_FECH,0)))</f>
        <v/>
      </c>
      <c r="S45" s="19">
        <f>IF($B45="","",N45-Q45-R45)</f>
        <v/>
      </c>
      <c r="T45" s="18">
        <f>IF($B45="","",IFERROR(S45/N45,""))</f>
        <v/>
      </c>
      <c r="U45" s="18">
        <f>IF($B45="","",IFERROR(L45*P45*T45,""))</f>
        <v/>
      </c>
      <c r="V45" s="18">
        <f>IF($B45="","",IFERROR(S45/M45/H45,""))</f>
        <v/>
      </c>
      <c r="W45" s="20">
        <f>IF($B45="","",IFERROR(ROUND(U45-V45,6),""))</f>
        <v/>
      </c>
      <c r="X45" s="6">
        <f>IF($B45="","",IF(OR(K45="ERRO",W45&lt;&gt;0),"NÃO PUBLICAR",IF(P45&gt;1,"VERIFICAR: desempenho &gt; 100%","OK: as duas vias fecham")))</f>
        <v/>
      </c>
      <c r="Y45" s="15">
        <f>IF($B45="","",I45)</f>
        <v/>
      </c>
      <c r="Z45" s="15">
        <f>IF($B45="","",J45-N45/M45)</f>
        <v/>
      </c>
      <c r="AA45" s="15">
        <f>IF($B45="","",(Q45+R45)/M45)</f>
        <v/>
      </c>
      <c r="AB45" s="15">
        <f>IF($B45="","",S45/M45)</f>
        <v/>
      </c>
      <c r="AC45" s="15">
        <f>IF($B45="","",Y45+Z45+AA45+AB45)</f>
        <v/>
      </c>
      <c r="AD45" s="15">
        <f>IF($B45="","",AE45/M45)</f>
        <v/>
      </c>
      <c r="AE45" s="19">
        <f>IF($B45="","",INDEX(AP_ARR,MATCH($A45,AP_FECH,0)))</f>
        <v/>
      </c>
    </row>
    <row r="46">
      <c r="A46" s="12" t="n">
        <v>41</v>
      </c>
      <c r="B46" s="17">
        <f>IFERROR(INDEX(AP_DATA,MATCH($A46,AP_FECH,0)),"")</f>
        <v/>
      </c>
      <c r="C46" s="6">
        <f>IFERROR(INDEX(AP_TURNO,MATCH($A46,AP_FECH,0)),"")</f>
        <v/>
      </c>
      <c r="D46" s="6">
        <f>IFERROR(INDEX(AP_EQ,MATCH($A46,AP_FECH,0)),"")</f>
        <v/>
      </c>
      <c r="E46" s="12">
        <f>IF($B46="","",VLOOKUP($D46,CAD,5,FALSE))</f>
        <v/>
      </c>
      <c r="F46" s="12">
        <f>IF($B46="","",VLOOKUP($D46,CAD,5,FALSE)-VLOOKUP($D46,CAD,10,FALSE))</f>
        <v/>
      </c>
      <c r="G46" s="15">
        <f>IF($B46="","",SUMIFS(AP_DUR,AP_DATA,$B46,AP_TURNO,$C46,AP_EQ,$D46,AP_CLASSE,"Planejada"))</f>
        <v/>
      </c>
      <c r="H46" s="15">
        <f>IF($B46="","",E46-F46-G46)</f>
        <v/>
      </c>
      <c r="I46" s="15">
        <f>IF($B46="","",SUMIFS(AP_DUR,AP_DATA,$B46,AP_TURNO,$C46,AP_EQ,$D46,AP_CLASSE,"Não planejada"))</f>
        <v/>
      </c>
      <c r="J46" s="15">
        <f>IF($B46="","",H46-I46)</f>
        <v/>
      </c>
      <c r="K46" s="6">
        <f>IF($B46="","",IF(I46&gt;H46,"ERRO",""))</f>
        <v/>
      </c>
      <c r="L46" s="18">
        <f>IF($B46="","",IFERROR(J46/H46,""))</f>
        <v/>
      </c>
      <c r="M46" s="15">
        <f>IF($B46="","",VLOOKUP($D46,CAD,3,FALSE))</f>
        <v/>
      </c>
      <c r="N46" s="19">
        <f>IF($B46="","",INDEX(AP_PROD,MATCH($A46,AP_FECH,0)))</f>
        <v/>
      </c>
      <c r="O46" s="19">
        <f>IF($B46="","",J46*M46)</f>
        <v/>
      </c>
      <c r="P46" s="18">
        <f>IF($B46="","",IFERROR(N46/O46,""))</f>
        <v/>
      </c>
      <c r="Q46" s="19">
        <f>IF($B46="","",INDEX(AP_REF,MATCH($A46,AP_FECH,0)))</f>
        <v/>
      </c>
      <c r="R46" s="19">
        <f>IF($B46="","",INDEX(AP_RET,MATCH($A46,AP_FECH,0)))</f>
        <v/>
      </c>
      <c r="S46" s="19">
        <f>IF($B46="","",N46-Q46-R46)</f>
        <v/>
      </c>
      <c r="T46" s="18">
        <f>IF($B46="","",IFERROR(S46/N46,""))</f>
        <v/>
      </c>
      <c r="U46" s="18">
        <f>IF($B46="","",IFERROR(L46*P46*T46,""))</f>
        <v/>
      </c>
      <c r="V46" s="18">
        <f>IF($B46="","",IFERROR(S46/M46/H46,""))</f>
        <v/>
      </c>
      <c r="W46" s="20">
        <f>IF($B46="","",IFERROR(ROUND(U46-V46,6),""))</f>
        <v/>
      </c>
      <c r="X46" s="6">
        <f>IF($B46="","",IF(OR(K46="ERRO",W46&lt;&gt;0),"NÃO PUBLICAR",IF(P46&gt;1,"VERIFICAR: desempenho &gt; 100%","OK: as duas vias fecham")))</f>
        <v/>
      </c>
      <c r="Y46" s="15">
        <f>IF($B46="","",I46)</f>
        <v/>
      </c>
      <c r="Z46" s="15">
        <f>IF($B46="","",J46-N46/M46)</f>
        <v/>
      </c>
      <c r="AA46" s="15">
        <f>IF($B46="","",(Q46+R46)/M46)</f>
        <v/>
      </c>
      <c r="AB46" s="15">
        <f>IF($B46="","",S46/M46)</f>
        <v/>
      </c>
      <c r="AC46" s="15">
        <f>IF($B46="","",Y46+Z46+AA46+AB46)</f>
        <v/>
      </c>
      <c r="AD46" s="15">
        <f>IF($B46="","",AE46/M46)</f>
        <v/>
      </c>
      <c r="AE46" s="19">
        <f>IF($B46="","",INDEX(AP_ARR,MATCH($A46,AP_FECH,0)))</f>
        <v/>
      </c>
    </row>
    <row r="47">
      <c r="A47" s="12" t="n">
        <v>42</v>
      </c>
      <c r="B47" s="17">
        <f>IFERROR(INDEX(AP_DATA,MATCH($A47,AP_FECH,0)),"")</f>
        <v/>
      </c>
      <c r="C47" s="6">
        <f>IFERROR(INDEX(AP_TURNO,MATCH($A47,AP_FECH,0)),"")</f>
        <v/>
      </c>
      <c r="D47" s="6">
        <f>IFERROR(INDEX(AP_EQ,MATCH($A47,AP_FECH,0)),"")</f>
        <v/>
      </c>
      <c r="E47" s="12">
        <f>IF($B47="","",VLOOKUP($D47,CAD,5,FALSE))</f>
        <v/>
      </c>
      <c r="F47" s="12">
        <f>IF($B47="","",VLOOKUP($D47,CAD,5,FALSE)-VLOOKUP($D47,CAD,10,FALSE))</f>
        <v/>
      </c>
      <c r="G47" s="15">
        <f>IF($B47="","",SUMIFS(AP_DUR,AP_DATA,$B47,AP_TURNO,$C47,AP_EQ,$D47,AP_CLASSE,"Planejada"))</f>
        <v/>
      </c>
      <c r="H47" s="15">
        <f>IF($B47="","",E47-F47-G47)</f>
        <v/>
      </c>
      <c r="I47" s="15">
        <f>IF($B47="","",SUMIFS(AP_DUR,AP_DATA,$B47,AP_TURNO,$C47,AP_EQ,$D47,AP_CLASSE,"Não planejada"))</f>
        <v/>
      </c>
      <c r="J47" s="15">
        <f>IF($B47="","",H47-I47)</f>
        <v/>
      </c>
      <c r="K47" s="6">
        <f>IF($B47="","",IF(I47&gt;H47,"ERRO",""))</f>
        <v/>
      </c>
      <c r="L47" s="18">
        <f>IF($B47="","",IFERROR(J47/H47,""))</f>
        <v/>
      </c>
      <c r="M47" s="15">
        <f>IF($B47="","",VLOOKUP($D47,CAD,3,FALSE))</f>
        <v/>
      </c>
      <c r="N47" s="19">
        <f>IF($B47="","",INDEX(AP_PROD,MATCH($A47,AP_FECH,0)))</f>
        <v/>
      </c>
      <c r="O47" s="19">
        <f>IF($B47="","",J47*M47)</f>
        <v/>
      </c>
      <c r="P47" s="18">
        <f>IF($B47="","",IFERROR(N47/O47,""))</f>
        <v/>
      </c>
      <c r="Q47" s="19">
        <f>IF($B47="","",INDEX(AP_REF,MATCH($A47,AP_FECH,0)))</f>
        <v/>
      </c>
      <c r="R47" s="19">
        <f>IF($B47="","",INDEX(AP_RET,MATCH($A47,AP_FECH,0)))</f>
        <v/>
      </c>
      <c r="S47" s="19">
        <f>IF($B47="","",N47-Q47-R47)</f>
        <v/>
      </c>
      <c r="T47" s="18">
        <f>IF($B47="","",IFERROR(S47/N47,""))</f>
        <v/>
      </c>
      <c r="U47" s="18">
        <f>IF($B47="","",IFERROR(L47*P47*T47,""))</f>
        <v/>
      </c>
      <c r="V47" s="18">
        <f>IF($B47="","",IFERROR(S47/M47/H47,""))</f>
        <v/>
      </c>
      <c r="W47" s="20">
        <f>IF($B47="","",IFERROR(ROUND(U47-V47,6),""))</f>
        <v/>
      </c>
      <c r="X47" s="6">
        <f>IF($B47="","",IF(OR(K47="ERRO",W47&lt;&gt;0),"NÃO PUBLICAR",IF(P47&gt;1,"VERIFICAR: desempenho &gt; 100%","OK: as duas vias fecham")))</f>
        <v/>
      </c>
      <c r="Y47" s="15">
        <f>IF($B47="","",I47)</f>
        <v/>
      </c>
      <c r="Z47" s="15">
        <f>IF($B47="","",J47-N47/M47)</f>
        <v/>
      </c>
      <c r="AA47" s="15">
        <f>IF($B47="","",(Q47+R47)/M47)</f>
        <v/>
      </c>
      <c r="AB47" s="15">
        <f>IF($B47="","",S47/M47)</f>
        <v/>
      </c>
      <c r="AC47" s="15">
        <f>IF($B47="","",Y47+Z47+AA47+AB47)</f>
        <v/>
      </c>
      <c r="AD47" s="15">
        <f>IF($B47="","",AE47/M47)</f>
        <v/>
      </c>
      <c r="AE47" s="19">
        <f>IF($B47="","",INDEX(AP_ARR,MATCH($A47,AP_FECH,0)))</f>
        <v/>
      </c>
    </row>
    <row r="48">
      <c r="A48" s="12" t="n">
        <v>43</v>
      </c>
      <c r="B48" s="17">
        <f>IFERROR(INDEX(AP_DATA,MATCH($A48,AP_FECH,0)),"")</f>
        <v/>
      </c>
      <c r="C48" s="6">
        <f>IFERROR(INDEX(AP_TURNO,MATCH($A48,AP_FECH,0)),"")</f>
        <v/>
      </c>
      <c r="D48" s="6">
        <f>IFERROR(INDEX(AP_EQ,MATCH($A48,AP_FECH,0)),"")</f>
        <v/>
      </c>
      <c r="E48" s="12">
        <f>IF($B48="","",VLOOKUP($D48,CAD,5,FALSE))</f>
        <v/>
      </c>
      <c r="F48" s="12">
        <f>IF($B48="","",VLOOKUP($D48,CAD,5,FALSE)-VLOOKUP($D48,CAD,10,FALSE))</f>
        <v/>
      </c>
      <c r="G48" s="15">
        <f>IF($B48="","",SUMIFS(AP_DUR,AP_DATA,$B48,AP_TURNO,$C48,AP_EQ,$D48,AP_CLASSE,"Planejada"))</f>
        <v/>
      </c>
      <c r="H48" s="15">
        <f>IF($B48="","",E48-F48-G48)</f>
        <v/>
      </c>
      <c r="I48" s="15">
        <f>IF($B48="","",SUMIFS(AP_DUR,AP_DATA,$B48,AP_TURNO,$C48,AP_EQ,$D48,AP_CLASSE,"Não planejada"))</f>
        <v/>
      </c>
      <c r="J48" s="15">
        <f>IF($B48="","",H48-I48)</f>
        <v/>
      </c>
      <c r="K48" s="6">
        <f>IF($B48="","",IF(I48&gt;H48,"ERRO",""))</f>
        <v/>
      </c>
      <c r="L48" s="18">
        <f>IF($B48="","",IFERROR(J48/H48,""))</f>
        <v/>
      </c>
      <c r="M48" s="15">
        <f>IF($B48="","",VLOOKUP($D48,CAD,3,FALSE))</f>
        <v/>
      </c>
      <c r="N48" s="19">
        <f>IF($B48="","",INDEX(AP_PROD,MATCH($A48,AP_FECH,0)))</f>
        <v/>
      </c>
      <c r="O48" s="19">
        <f>IF($B48="","",J48*M48)</f>
        <v/>
      </c>
      <c r="P48" s="18">
        <f>IF($B48="","",IFERROR(N48/O48,""))</f>
        <v/>
      </c>
      <c r="Q48" s="19">
        <f>IF($B48="","",INDEX(AP_REF,MATCH($A48,AP_FECH,0)))</f>
        <v/>
      </c>
      <c r="R48" s="19">
        <f>IF($B48="","",INDEX(AP_RET,MATCH($A48,AP_FECH,0)))</f>
        <v/>
      </c>
      <c r="S48" s="19">
        <f>IF($B48="","",N48-Q48-R48)</f>
        <v/>
      </c>
      <c r="T48" s="18">
        <f>IF($B48="","",IFERROR(S48/N48,""))</f>
        <v/>
      </c>
      <c r="U48" s="18">
        <f>IF($B48="","",IFERROR(L48*P48*T48,""))</f>
        <v/>
      </c>
      <c r="V48" s="18">
        <f>IF($B48="","",IFERROR(S48/M48/H48,""))</f>
        <v/>
      </c>
      <c r="W48" s="20">
        <f>IF($B48="","",IFERROR(ROUND(U48-V48,6),""))</f>
        <v/>
      </c>
      <c r="X48" s="6">
        <f>IF($B48="","",IF(OR(K48="ERRO",W48&lt;&gt;0),"NÃO PUBLICAR",IF(P48&gt;1,"VERIFICAR: desempenho &gt; 100%","OK: as duas vias fecham")))</f>
        <v/>
      </c>
      <c r="Y48" s="15">
        <f>IF($B48="","",I48)</f>
        <v/>
      </c>
      <c r="Z48" s="15">
        <f>IF($B48="","",J48-N48/M48)</f>
        <v/>
      </c>
      <c r="AA48" s="15">
        <f>IF($B48="","",(Q48+R48)/M48)</f>
        <v/>
      </c>
      <c r="AB48" s="15">
        <f>IF($B48="","",S48/M48)</f>
        <v/>
      </c>
      <c r="AC48" s="15">
        <f>IF($B48="","",Y48+Z48+AA48+AB48)</f>
        <v/>
      </c>
      <c r="AD48" s="15">
        <f>IF($B48="","",AE48/M48)</f>
        <v/>
      </c>
      <c r="AE48" s="19">
        <f>IF($B48="","",INDEX(AP_ARR,MATCH($A48,AP_FECH,0)))</f>
        <v/>
      </c>
    </row>
    <row r="49">
      <c r="A49" s="12" t="n">
        <v>44</v>
      </c>
      <c r="B49" s="17">
        <f>IFERROR(INDEX(AP_DATA,MATCH($A49,AP_FECH,0)),"")</f>
        <v/>
      </c>
      <c r="C49" s="6">
        <f>IFERROR(INDEX(AP_TURNO,MATCH($A49,AP_FECH,0)),"")</f>
        <v/>
      </c>
      <c r="D49" s="6">
        <f>IFERROR(INDEX(AP_EQ,MATCH($A49,AP_FECH,0)),"")</f>
        <v/>
      </c>
      <c r="E49" s="12">
        <f>IF($B49="","",VLOOKUP($D49,CAD,5,FALSE))</f>
        <v/>
      </c>
      <c r="F49" s="12">
        <f>IF($B49="","",VLOOKUP($D49,CAD,5,FALSE)-VLOOKUP($D49,CAD,10,FALSE))</f>
        <v/>
      </c>
      <c r="G49" s="15">
        <f>IF($B49="","",SUMIFS(AP_DUR,AP_DATA,$B49,AP_TURNO,$C49,AP_EQ,$D49,AP_CLASSE,"Planejada"))</f>
        <v/>
      </c>
      <c r="H49" s="15">
        <f>IF($B49="","",E49-F49-G49)</f>
        <v/>
      </c>
      <c r="I49" s="15">
        <f>IF($B49="","",SUMIFS(AP_DUR,AP_DATA,$B49,AP_TURNO,$C49,AP_EQ,$D49,AP_CLASSE,"Não planejada"))</f>
        <v/>
      </c>
      <c r="J49" s="15">
        <f>IF($B49="","",H49-I49)</f>
        <v/>
      </c>
      <c r="K49" s="6">
        <f>IF($B49="","",IF(I49&gt;H49,"ERRO",""))</f>
        <v/>
      </c>
      <c r="L49" s="18">
        <f>IF($B49="","",IFERROR(J49/H49,""))</f>
        <v/>
      </c>
      <c r="M49" s="15">
        <f>IF($B49="","",VLOOKUP($D49,CAD,3,FALSE))</f>
        <v/>
      </c>
      <c r="N49" s="19">
        <f>IF($B49="","",INDEX(AP_PROD,MATCH($A49,AP_FECH,0)))</f>
        <v/>
      </c>
      <c r="O49" s="19">
        <f>IF($B49="","",J49*M49)</f>
        <v/>
      </c>
      <c r="P49" s="18">
        <f>IF($B49="","",IFERROR(N49/O49,""))</f>
        <v/>
      </c>
      <c r="Q49" s="19">
        <f>IF($B49="","",INDEX(AP_REF,MATCH($A49,AP_FECH,0)))</f>
        <v/>
      </c>
      <c r="R49" s="19">
        <f>IF($B49="","",INDEX(AP_RET,MATCH($A49,AP_FECH,0)))</f>
        <v/>
      </c>
      <c r="S49" s="19">
        <f>IF($B49="","",N49-Q49-R49)</f>
        <v/>
      </c>
      <c r="T49" s="18">
        <f>IF($B49="","",IFERROR(S49/N49,""))</f>
        <v/>
      </c>
      <c r="U49" s="18">
        <f>IF($B49="","",IFERROR(L49*P49*T49,""))</f>
        <v/>
      </c>
      <c r="V49" s="18">
        <f>IF($B49="","",IFERROR(S49/M49/H49,""))</f>
        <v/>
      </c>
      <c r="W49" s="20">
        <f>IF($B49="","",IFERROR(ROUND(U49-V49,6),""))</f>
        <v/>
      </c>
      <c r="X49" s="6">
        <f>IF($B49="","",IF(OR(K49="ERRO",W49&lt;&gt;0),"NÃO PUBLICAR",IF(P49&gt;1,"VERIFICAR: desempenho &gt; 100%","OK: as duas vias fecham")))</f>
        <v/>
      </c>
      <c r="Y49" s="15">
        <f>IF($B49="","",I49)</f>
        <v/>
      </c>
      <c r="Z49" s="15">
        <f>IF($B49="","",J49-N49/M49)</f>
        <v/>
      </c>
      <c r="AA49" s="15">
        <f>IF($B49="","",(Q49+R49)/M49)</f>
        <v/>
      </c>
      <c r="AB49" s="15">
        <f>IF($B49="","",S49/M49)</f>
        <v/>
      </c>
      <c r="AC49" s="15">
        <f>IF($B49="","",Y49+Z49+AA49+AB49)</f>
        <v/>
      </c>
      <c r="AD49" s="15">
        <f>IF($B49="","",AE49/M49)</f>
        <v/>
      </c>
      <c r="AE49" s="19">
        <f>IF($B49="","",INDEX(AP_ARR,MATCH($A49,AP_FECH,0)))</f>
        <v/>
      </c>
    </row>
    <row r="50">
      <c r="A50" s="12" t="n">
        <v>45</v>
      </c>
      <c r="B50" s="17">
        <f>IFERROR(INDEX(AP_DATA,MATCH($A50,AP_FECH,0)),"")</f>
        <v/>
      </c>
      <c r="C50" s="6">
        <f>IFERROR(INDEX(AP_TURNO,MATCH($A50,AP_FECH,0)),"")</f>
        <v/>
      </c>
      <c r="D50" s="6">
        <f>IFERROR(INDEX(AP_EQ,MATCH($A50,AP_FECH,0)),"")</f>
        <v/>
      </c>
      <c r="E50" s="12">
        <f>IF($B50="","",VLOOKUP($D50,CAD,5,FALSE))</f>
        <v/>
      </c>
      <c r="F50" s="12">
        <f>IF($B50="","",VLOOKUP($D50,CAD,5,FALSE)-VLOOKUP($D50,CAD,10,FALSE))</f>
        <v/>
      </c>
      <c r="G50" s="15">
        <f>IF($B50="","",SUMIFS(AP_DUR,AP_DATA,$B50,AP_TURNO,$C50,AP_EQ,$D50,AP_CLASSE,"Planejada"))</f>
        <v/>
      </c>
      <c r="H50" s="15">
        <f>IF($B50="","",E50-F50-G50)</f>
        <v/>
      </c>
      <c r="I50" s="15">
        <f>IF($B50="","",SUMIFS(AP_DUR,AP_DATA,$B50,AP_TURNO,$C50,AP_EQ,$D50,AP_CLASSE,"Não planejada"))</f>
        <v/>
      </c>
      <c r="J50" s="15">
        <f>IF($B50="","",H50-I50)</f>
        <v/>
      </c>
      <c r="K50" s="6">
        <f>IF($B50="","",IF(I50&gt;H50,"ERRO",""))</f>
        <v/>
      </c>
      <c r="L50" s="18">
        <f>IF($B50="","",IFERROR(J50/H50,""))</f>
        <v/>
      </c>
      <c r="M50" s="15">
        <f>IF($B50="","",VLOOKUP($D50,CAD,3,FALSE))</f>
        <v/>
      </c>
      <c r="N50" s="19">
        <f>IF($B50="","",INDEX(AP_PROD,MATCH($A50,AP_FECH,0)))</f>
        <v/>
      </c>
      <c r="O50" s="19">
        <f>IF($B50="","",J50*M50)</f>
        <v/>
      </c>
      <c r="P50" s="18">
        <f>IF($B50="","",IFERROR(N50/O50,""))</f>
        <v/>
      </c>
      <c r="Q50" s="19">
        <f>IF($B50="","",INDEX(AP_REF,MATCH($A50,AP_FECH,0)))</f>
        <v/>
      </c>
      <c r="R50" s="19">
        <f>IF($B50="","",INDEX(AP_RET,MATCH($A50,AP_FECH,0)))</f>
        <v/>
      </c>
      <c r="S50" s="19">
        <f>IF($B50="","",N50-Q50-R50)</f>
        <v/>
      </c>
      <c r="T50" s="18">
        <f>IF($B50="","",IFERROR(S50/N50,""))</f>
        <v/>
      </c>
      <c r="U50" s="18">
        <f>IF($B50="","",IFERROR(L50*P50*T50,""))</f>
        <v/>
      </c>
      <c r="V50" s="18">
        <f>IF($B50="","",IFERROR(S50/M50/H50,""))</f>
        <v/>
      </c>
      <c r="W50" s="20">
        <f>IF($B50="","",IFERROR(ROUND(U50-V50,6),""))</f>
        <v/>
      </c>
      <c r="X50" s="6">
        <f>IF($B50="","",IF(OR(K50="ERRO",W50&lt;&gt;0),"NÃO PUBLICAR",IF(P50&gt;1,"VERIFICAR: desempenho &gt; 100%","OK: as duas vias fecham")))</f>
        <v/>
      </c>
      <c r="Y50" s="15">
        <f>IF($B50="","",I50)</f>
        <v/>
      </c>
      <c r="Z50" s="15">
        <f>IF($B50="","",J50-N50/M50)</f>
        <v/>
      </c>
      <c r="AA50" s="15">
        <f>IF($B50="","",(Q50+R50)/M50)</f>
        <v/>
      </c>
      <c r="AB50" s="15">
        <f>IF($B50="","",S50/M50)</f>
        <v/>
      </c>
      <c r="AC50" s="15">
        <f>IF($B50="","",Y50+Z50+AA50+AB50)</f>
        <v/>
      </c>
      <c r="AD50" s="15">
        <f>IF($B50="","",AE50/M50)</f>
        <v/>
      </c>
      <c r="AE50" s="19">
        <f>IF($B50="","",INDEX(AP_ARR,MATCH($A50,AP_FECH,0)))</f>
        <v/>
      </c>
    </row>
    <row r="51">
      <c r="A51" s="12" t="n">
        <v>46</v>
      </c>
      <c r="B51" s="17">
        <f>IFERROR(INDEX(AP_DATA,MATCH($A51,AP_FECH,0)),"")</f>
        <v/>
      </c>
      <c r="C51" s="6">
        <f>IFERROR(INDEX(AP_TURNO,MATCH($A51,AP_FECH,0)),"")</f>
        <v/>
      </c>
      <c r="D51" s="6">
        <f>IFERROR(INDEX(AP_EQ,MATCH($A51,AP_FECH,0)),"")</f>
        <v/>
      </c>
      <c r="E51" s="12">
        <f>IF($B51="","",VLOOKUP($D51,CAD,5,FALSE))</f>
        <v/>
      </c>
      <c r="F51" s="12">
        <f>IF($B51="","",VLOOKUP($D51,CAD,5,FALSE)-VLOOKUP($D51,CAD,10,FALSE))</f>
        <v/>
      </c>
      <c r="G51" s="15">
        <f>IF($B51="","",SUMIFS(AP_DUR,AP_DATA,$B51,AP_TURNO,$C51,AP_EQ,$D51,AP_CLASSE,"Planejada"))</f>
        <v/>
      </c>
      <c r="H51" s="15">
        <f>IF($B51="","",E51-F51-G51)</f>
        <v/>
      </c>
      <c r="I51" s="15">
        <f>IF($B51="","",SUMIFS(AP_DUR,AP_DATA,$B51,AP_TURNO,$C51,AP_EQ,$D51,AP_CLASSE,"Não planejada"))</f>
        <v/>
      </c>
      <c r="J51" s="15">
        <f>IF($B51="","",H51-I51)</f>
        <v/>
      </c>
      <c r="K51" s="6">
        <f>IF($B51="","",IF(I51&gt;H51,"ERRO",""))</f>
        <v/>
      </c>
      <c r="L51" s="18">
        <f>IF($B51="","",IFERROR(J51/H51,""))</f>
        <v/>
      </c>
      <c r="M51" s="15">
        <f>IF($B51="","",VLOOKUP($D51,CAD,3,FALSE))</f>
        <v/>
      </c>
      <c r="N51" s="19">
        <f>IF($B51="","",INDEX(AP_PROD,MATCH($A51,AP_FECH,0)))</f>
        <v/>
      </c>
      <c r="O51" s="19">
        <f>IF($B51="","",J51*M51)</f>
        <v/>
      </c>
      <c r="P51" s="18">
        <f>IF($B51="","",IFERROR(N51/O51,""))</f>
        <v/>
      </c>
      <c r="Q51" s="19">
        <f>IF($B51="","",INDEX(AP_REF,MATCH($A51,AP_FECH,0)))</f>
        <v/>
      </c>
      <c r="R51" s="19">
        <f>IF($B51="","",INDEX(AP_RET,MATCH($A51,AP_FECH,0)))</f>
        <v/>
      </c>
      <c r="S51" s="19">
        <f>IF($B51="","",N51-Q51-R51)</f>
        <v/>
      </c>
      <c r="T51" s="18">
        <f>IF($B51="","",IFERROR(S51/N51,""))</f>
        <v/>
      </c>
      <c r="U51" s="18">
        <f>IF($B51="","",IFERROR(L51*P51*T51,""))</f>
        <v/>
      </c>
      <c r="V51" s="18">
        <f>IF($B51="","",IFERROR(S51/M51/H51,""))</f>
        <v/>
      </c>
      <c r="W51" s="20">
        <f>IF($B51="","",IFERROR(ROUND(U51-V51,6),""))</f>
        <v/>
      </c>
      <c r="X51" s="6">
        <f>IF($B51="","",IF(OR(K51="ERRO",W51&lt;&gt;0),"NÃO PUBLICAR",IF(P51&gt;1,"VERIFICAR: desempenho &gt; 100%","OK: as duas vias fecham")))</f>
        <v/>
      </c>
      <c r="Y51" s="15">
        <f>IF($B51="","",I51)</f>
        <v/>
      </c>
      <c r="Z51" s="15">
        <f>IF($B51="","",J51-N51/M51)</f>
        <v/>
      </c>
      <c r="AA51" s="15">
        <f>IF($B51="","",(Q51+R51)/M51)</f>
        <v/>
      </c>
      <c r="AB51" s="15">
        <f>IF($B51="","",S51/M51)</f>
        <v/>
      </c>
      <c r="AC51" s="15">
        <f>IF($B51="","",Y51+Z51+AA51+AB51)</f>
        <v/>
      </c>
      <c r="AD51" s="15">
        <f>IF($B51="","",AE51/M51)</f>
        <v/>
      </c>
      <c r="AE51" s="19">
        <f>IF($B51="","",INDEX(AP_ARR,MATCH($A51,AP_FECH,0)))</f>
        <v/>
      </c>
    </row>
    <row r="52">
      <c r="A52" s="12" t="n">
        <v>47</v>
      </c>
      <c r="B52" s="17">
        <f>IFERROR(INDEX(AP_DATA,MATCH($A52,AP_FECH,0)),"")</f>
        <v/>
      </c>
      <c r="C52" s="6">
        <f>IFERROR(INDEX(AP_TURNO,MATCH($A52,AP_FECH,0)),"")</f>
        <v/>
      </c>
      <c r="D52" s="6">
        <f>IFERROR(INDEX(AP_EQ,MATCH($A52,AP_FECH,0)),"")</f>
        <v/>
      </c>
      <c r="E52" s="12">
        <f>IF($B52="","",VLOOKUP($D52,CAD,5,FALSE))</f>
        <v/>
      </c>
      <c r="F52" s="12">
        <f>IF($B52="","",VLOOKUP($D52,CAD,5,FALSE)-VLOOKUP($D52,CAD,10,FALSE))</f>
        <v/>
      </c>
      <c r="G52" s="15">
        <f>IF($B52="","",SUMIFS(AP_DUR,AP_DATA,$B52,AP_TURNO,$C52,AP_EQ,$D52,AP_CLASSE,"Planejada"))</f>
        <v/>
      </c>
      <c r="H52" s="15">
        <f>IF($B52="","",E52-F52-G52)</f>
        <v/>
      </c>
      <c r="I52" s="15">
        <f>IF($B52="","",SUMIFS(AP_DUR,AP_DATA,$B52,AP_TURNO,$C52,AP_EQ,$D52,AP_CLASSE,"Não planejada"))</f>
        <v/>
      </c>
      <c r="J52" s="15">
        <f>IF($B52="","",H52-I52)</f>
        <v/>
      </c>
      <c r="K52" s="6">
        <f>IF($B52="","",IF(I52&gt;H52,"ERRO",""))</f>
        <v/>
      </c>
      <c r="L52" s="18">
        <f>IF($B52="","",IFERROR(J52/H52,""))</f>
        <v/>
      </c>
      <c r="M52" s="15">
        <f>IF($B52="","",VLOOKUP($D52,CAD,3,FALSE))</f>
        <v/>
      </c>
      <c r="N52" s="19">
        <f>IF($B52="","",INDEX(AP_PROD,MATCH($A52,AP_FECH,0)))</f>
        <v/>
      </c>
      <c r="O52" s="19">
        <f>IF($B52="","",J52*M52)</f>
        <v/>
      </c>
      <c r="P52" s="18">
        <f>IF($B52="","",IFERROR(N52/O52,""))</f>
        <v/>
      </c>
      <c r="Q52" s="19">
        <f>IF($B52="","",INDEX(AP_REF,MATCH($A52,AP_FECH,0)))</f>
        <v/>
      </c>
      <c r="R52" s="19">
        <f>IF($B52="","",INDEX(AP_RET,MATCH($A52,AP_FECH,0)))</f>
        <v/>
      </c>
      <c r="S52" s="19">
        <f>IF($B52="","",N52-Q52-R52)</f>
        <v/>
      </c>
      <c r="T52" s="18">
        <f>IF($B52="","",IFERROR(S52/N52,""))</f>
        <v/>
      </c>
      <c r="U52" s="18">
        <f>IF($B52="","",IFERROR(L52*P52*T52,""))</f>
        <v/>
      </c>
      <c r="V52" s="18">
        <f>IF($B52="","",IFERROR(S52/M52/H52,""))</f>
        <v/>
      </c>
      <c r="W52" s="20">
        <f>IF($B52="","",IFERROR(ROUND(U52-V52,6),""))</f>
        <v/>
      </c>
      <c r="X52" s="6">
        <f>IF($B52="","",IF(OR(K52="ERRO",W52&lt;&gt;0),"NÃO PUBLICAR",IF(P52&gt;1,"VERIFICAR: desempenho &gt; 100%","OK: as duas vias fecham")))</f>
        <v/>
      </c>
      <c r="Y52" s="15">
        <f>IF($B52="","",I52)</f>
        <v/>
      </c>
      <c r="Z52" s="15">
        <f>IF($B52="","",J52-N52/M52)</f>
        <v/>
      </c>
      <c r="AA52" s="15">
        <f>IF($B52="","",(Q52+R52)/M52)</f>
        <v/>
      </c>
      <c r="AB52" s="15">
        <f>IF($B52="","",S52/M52)</f>
        <v/>
      </c>
      <c r="AC52" s="15">
        <f>IF($B52="","",Y52+Z52+AA52+AB52)</f>
        <v/>
      </c>
      <c r="AD52" s="15">
        <f>IF($B52="","",AE52/M52)</f>
        <v/>
      </c>
      <c r="AE52" s="19">
        <f>IF($B52="","",INDEX(AP_ARR,MATCH($A52,AP_FECH,0)))</f>
        <v/>
      </c>
    </row>
    <row r="53">
      <c r="A53" s="12" t="n">
        <v>48</v>
      </c>
      <c r="B53" s="17">
        <f>IFERROR(INDEX(AP_DATA,MATCH($A53,AP_FECH,0)),"")</f>
        <v/>
      </c>
      <c r="C53" s="6">
        <f>IFERROR(INDEX(AP_TURNO,MATCH($A53,AP_FECH,0)),"")</f>
        <v/>
      </c>
      <c r="D53" s="6">
        <f>IFERROR(INDEX(AP_EQ,MATCH($A53,AP_FECH,0)),"")</f>
        <v/>
      </c>
      <c r="E53" s="12">
        <f>IF($B53="","",VLOOKUP($D53,CAD,5,FALSE))</f>
        <v/>
      </c>
      <c r="F53" s="12">
        <f>IF($B53="","",VLOOKUP($D53,CAD,5,FALSE)-VLOOKUP($D53,CAD,10,FALSE))</f>
        <v/>
      </c>
      <c r="G53" s="15">
        <f>IF($B53="","",SUMIFS(AP_DUR,AP_DATA,$B53,AP_TURNO,$C53,AP_EQ,$D53,AP_CLASSE,"Planejada"))</f>
        <v/>
      </c>
      <c r="H53" s="15">
        <f>IF($B53="","",E53-F53-G53)</f>
        <v/>
      </c>
      <c r="I53" s="15">
        <f>IF($B53="","",SUMIFS(AP_DUR,AP_DATA,$B53,AP_TURNO,$C53,AP_EQ,$D53,AP_CLASSE,"Não planejada"))</f>
        <v/>
      </c>
      <c r="J53" s="15">
        <f>IF($B53="","",H53-I53)</f>
        <v/>
      </c>
      <c r="K53" s="6">
        <f>IF($B53="","",IF(I53&gt;H53,"ERRO",""))</f>
        <v/>
      </c>
      <c r="L53" s="18">
        <f>IF($B53="","",IFERROR(J53/H53,""))</f>
        <v/>
      </c>
      <c r="M53" s="15">
        <f>IF($B53="","",VLOOKUP($D53,CAD,3,FALSE))</f>
        <v/>
      </c>
      <c r="N53" s="19">
        <f>IF($B53="","",INDEX(AP_PROD,MATCH($A53,AP_FECH,0)))</f>
        <v/>
      </c>
      <c r="O53" s="19">
        <f>IF($B53="","",J53*M53)</f>
        <v/>
      </c>
      <c r="P53" s="18">
        <f>IF($B53="","",IFERROR(N53/O53,""))</f>
        <v/>
      </c>
      <c r="Q53" s="19">
        <f>IF($B53="","",INDEX(AP_REF,MATCH($A53,AP_FECH,0)))</f>
        <v/>
      </c>
      <c r="R53" s="19">
        <f>IF($B53="","",INDEX(AP_RET,MATCH($A53,AP_FECH,0)))</f>
        <v/>
      </c>
      <c r="S53" s="19">
        <f>IF($B53="","",N53-Q53-R53)</f>
        <v/>
      </c>
      <c r="T53" s="18">
        <f>IF($B53="","",IFERROR(S53/N53,""))</f>
        <v/>
      </c>
      <c r="U53" s="18">
        <f>IF($B53="","",IFERROR(L53*P53*T53,""))</f>
        <v/>
      </c>
      <c r="V53" s="18">
        <f>IF($B53="","",IFERROR(S53/M53/H53,""))</f>
        <v/>
      </c>
      <c r="W53" s="20">
        <f>IF($B53="","",IFERROR(ROUND(U53-V53,6),""))</f>
        <v/>
      </c>
      <c r="X53" s="6">
        <f>IF($B53="","",IF(OR(K53="ERRO",W53&lt;&gt;0),"NÃO PUBLICAR",IF(P53&gt;1,"VERIFICAR: desempenho &gt; 100%","OK: as duas vias fecham")))</f>
        <v/>
      </c>
      <c r="Y53" s="15">
        <f>IF($B53="","",I53)</f>
        <v/>
      </c>
      <c r="Z53" s="15">
        <f>IF($B53="","",J53-N53/M53)</f>
        <v/>
      </c>
      <c r="AA53" s="15">
        <f>IF($B53="","",(Q53+R53)/M53)</f>
        <v/>
      </c>
      <c r="AB53" s="15">
        <f>IF($B53="","",S53/M53)</f>
        <v/>
      </c>
      <c r="AC53" s="15">
        <f>IF($B53="","",Y53+Z53+AA53+AB53)</f>
        <v/>
      </c>
      <c r="AD53" s="15">
        <f>IF($B53="","",AE53/M53)</f>
        <v/>
      </c>
      <c r="AE53" s="19">
        <f>IF($B53="","",INDEX(AP_ARR,MATCH($A53,AP_FECH,0)))</f>
        <v/>
      </c>
    </row>
    <row r="54">
      <c r="A54" s="12" t="n">
        <v>49</v>
      </c>
      <c r="B54" s="17">
        <f>IFERROR(INDEX(AP_DATA,MATCH($A54,AP_FECH,0)),"")</f>
        <v/>
      </c>
      <c r="C54" s="6">
        <f>IFERROR(INDEX(AP_TURNO,MATCH($A54,AP_FECH,0)),"")</f>
        <v/>
      </c>
      <c r="D54" s="6">
        <f>IFERROR(INDEX(AP_EQ,MATCH($A54,AP_FECH,0)),"")</f>
        <v/>
      </c>
      <c r="E54" s="12">
        <f>IF($B54="","",VLOOKUP($D54,CAD,5,FALSE))</f>
        <v/>
      </c>
      <c r="F54" s="12">
        <f>IF($B54="","",VLOOKUP($D54,CAD,5,FALSE)-VLOOKUP($D54,CAD,10,FALSE))</f>
        <v/>
      </c>
      <c r="G54" s="15">
        <f>IF($B54="","",SUMIFS(AP_DUR,AP_DATA,$B54,AP_TURNO,$C54,AP_EQ,$D54,AP_CLASSE,"Planejada"))</f>
        <v/>
      </c>
      <c r="H54" s="15">
        <f>IF($B54="","",E54-F54-G54)</f>
        <v/>
      </c>
      <c r="I54" s="15">
        <f>IF($B54="","",SUMIFS(AP_DUR,AP_DATA,$B54,AP_TURNO,$C54,AP_EQ,$D54,AP_CLASSE,"Não planejada"))</f>
        <v/>
      </c>
      <c r="J54" s="15">
        <f>IF($B54="","",H54-I54)</f>
        <v/>
      </c>
      <c r="K54" s="6">
        <f>IF($B54="","",IF(I54&gt;H54,"ERRO",""))</f>
        <v/>
      </c>
      <c r="L54" s="18">
        <f>IF($B54="","",IFERROR(J54/H54,""))</f>
        <v/>
      </c>
      <c r="M54" s="15">
        <f>IF($B54="","",VLOOKUP($D54,CAD,3,FALSE))</f>
        <v/>
      </c>
      <c r="N54" s="19">
        <f>IF($B54="","",INDEX(AP_PROD,MATCH($A54,AP_FECH,0)))</f>
        <v/>
      </c>
      <c r="O54" s="19">
        <f>IF($B54="","",J54*M54)</f>
        <v/>
      </c>
      <c r="P54" s="18">
        <f>IF($B54="","",IFERROR(N54/O54,""))</f>
        <v/>
      </c>
      <c r="Q54" s="19">
        <f>IF($B54="","",INDEX(AP_REF,MATCH($A54,AP_FECH,0)))</f>
        <v/>
      </c>
      <c r="R54" s="19">
        <f>IF($B54="","",INDEX(AP_RET,MATCH($A54,AP_FECH,0)))</f>
        <v/>
      </c>
      <c r="S54" s="19">
        <f>IF($B54="","",N54-Q54-R54)</f>
        <v/>
      </c>
      <c r="T54" s="18">
        <f>IF($B54="","",IFERROR(S54/N54,""))</f>
        <v/>
      </c>
      <c r="U54" s="18">
        <f>IF($B54="","",IFERROR(L54*P54*T54,""))</f>
        <v/>
      </c>
      <c r="V54" s="18">
        <f>IF($B54="","",IFERROR(S54/M54/H54,""))</f>
        <v/>
      </c>
      <c r="W54" s="20">
        <f>IF($B54="","",IFERROR(ROUND(U54-V54,6),""))</f>
        <v/>
      </c>
      <c r="X54" s="6">
        <f>IF($B54="","",IF(OR(K54="ERRO",W54&lt;&gt;0),"NÃO PUBLICAR",IF(P54&gt;1,"VERIFICAR: desempenho &gt; 100%","OK: as duas vias fecham")))</f>
        <v/>
      </c>
      <c r="Y54" s="15">
        <f>IF($B54="","",I54)</f>
        <v/>
      </c>
      <c r="Z54" s="15">
        <f>IF($B54="","",J54-N54/M54)</f>
        <v/>
      </c>
      <c r="AA54" s="15">
        <f>IF($B54="","",(Q54+R54)/M54)</f>
        <v/>
      </c>
      <c r="AB54" s="15">
        <f>IF($B54="","",S54/M54)</f>
        <v/>
      </c>
      <c r="AC54" s="15">
        <f>IF($B54="","",Y54+Z54+AA54+AB54)</f>
        <v/>
      </c>
      <c r="AD54" s="15">
        <f>IF($B54="","",AE54/M54)</f>
        <v/>
      </c>
      <c r="AE54" s="19">
        <f>IF($B54="","",INDEX(AP_ARR,MATCH($A54,AP_FECH,0)))</f>
        <v/>
      </c>
    </row>
    <row r="55">
      <c r="A55" s="12" t="n">
        <v>50</v>
      </c>
      <c r="B55" s="17">
        <f>IFERROR(INDEX(AP_DATA,MATCH($A55,AP_FECH,0)),"")</f>
        <v/>
      </c>
      <c r="C55" s="6">
        <f>IFERROR(INDEX(AP_TURNO,MATCH($A55,AP_FECH,0)),"")</f>
        <v/>
      </c>
      <c r="D55" s="6">
        <f>IFERROR(INDEX(AP_EQ,MATCH($A55,AP_FECH,0)),"")</f>
        <v/>
      </c>
      <c r="E55" s="12">
        <f>IF($B55="","",VLOOKUP($D55,CAD,5,FALSE))</f>
        <v/>
      </c>
      <c r="F55" s="12">
        <f>IF($B55="","",VLOOKUP($D55,CAD,5,FALSE)-VLOOKUP($D55,CAD,10,FALSE))</f>
        <v/>
      </c>
      <c r="G55" s="15">
        <f>IF($B55="","",SUMIFS(AP_DUR,AP_DATA,$B55,AP_TURNO,$C55,AP_EQ,$D55,AP_CLASSE,"Planejada"))</f>
        <v/>
      </c>
      <c r="H55" s="15">
        <f>IF($B55="","",E55-F55-G55)</f>
        <v/>
      </c>
      <c r="I55" s="15">
        <f>IF($B55="","",SUMIFS(AP_DUR,AP_DATA,$B55,AP_TURNO,$C55,AP_EQ,$D55,AP_CLASSE,"Não planejada"))</f>
        <v/>
      </c>
      <c r="J55" s="15">
        <f>IF($B55="","",H55-I55)</f>
        <v/>
      </c>
      <c r="K55" s="6">
        <f>IF($B55="","",IF(I55&gt;H55,"ERRO",""))</f>
        <v/>
      </c>
      <c r="L55" s="18">
        <f>IF($B55="","",IFERROR(J55/H55,""))</f>
        <v/>
      </c>
      <c r="M55" s="15">
        <f>IF($B55="","",VLOOKUP($D55,CAD,3,FALSE))</f>
        <v/>
      </c>
      <c r="N55" s="19">
        <f>IF($B55="","",INDEX(AP_PROD,MATCH($A55,AP_FECH,0)))</f>
        <v/>
      </c>
      <c r="O55" s="19">
        <f>IF($B55="","",J55*M55)</f>
        <v/>
      </c>
      <c r="P55" s="18">
        <f>IF($B55="","",IFERROR(N55/O55,""))</f>
        <v/>
      </c>
      <c r="Q55" s="19">
        <f>IF($B55="","",INDEX(AP_REF,MATCH($A55,AP_FECH,0)))</f>
        <v/>
      </c>
      <c r="R55" s="19">
        <f>IF($B55="","",INDEX(AP_RET,MATCH($A55,AP_FECH,0)))</f>
        <v/>
      </c>
      <c r="S55" s="19">
        <f>IF($B55="","",N55-Q55-R55)</f>
        <v/>
      </c>
      <c r="T55" s="18">
        <f>IF($B55="","",IFERROR(S55/N55,""))</f>
        <v/>
      </c>
      <c r="U55" s="18">
        <f>IF($B55="","",IFERROR(L55*P55*T55,""))</f>
        <v/>
      </c>
      <c r="V55" s="18">
        <f>IF($B55="","",IFERROR(S55/M55/H55,""))</f>
        <v/>
      </c>
      <c r="W55" s="20">
        <f>IF($B55="","",IFERROR(ROUND(U55-V55,6),""))</f>
        <v/>
      </c>
      <c r="X55" s="6">
        <f>IF($B55="","",IF(OR(K55="ERRO",W55&lt;&gt;0),"NÃO PUBLICAR",IF(P55&gt;1,"VERIFICAR: desempenho &gt; 100%","OK: as duas vias fecham")))</f>
        <v/>
      </c>
      <c r="Y55" s="15">
        <f>IF($B55="","",I55)</f>
        <v/>
      </c>
      <c r="Z55" s="15">
        <f>IF($B55="","",J55-N55/M55)</f>
        <v/>
      </c>
      <c r="AA55" s="15">
        <f>IF($B55="","",(Q55+R55)/M55)</f>
        <v/>
      </c>
      <c r="AB55" s="15">
        <f>IF($B55="","",S55/M55)</f>
        <v/>
      </c>
      <c r="AC55" s="15">
        <f>IF($B55="","",Y55+Z55+AA55+AB55)</f>
        <v/>
      </c>
      <c r="AD55" s="15">
        <f>IF($B55="","",AE55/M55)</f>
        <v/>
      </c>
      <c r="AE55" s="19">
        <f>IF($B55="","",INDEX(AP_ARR,MATCH($A55,AP_FECH,0)))</f>
        <v/>
      </c>
    </row>
    <row r="56">
      <c r="A56" s="12" t="n">
        <v>51</v>
      </c>
      <c r="B56" s="17">
        <f>IFERROR(INDEX(AP_DATA,MATCH($A56,AP_FECH,0)),"")</f>
        <v/>
      </c>
      <c r="C56" s="6">
        <f>IFERROR(INDEX(AP_TURNO,MATCH($A56,AP_FECH,0)),"")</f>
        <v/>
      </c>
      <c r="D56" s="6">
        <f>IFERROR(INDEX(AP_EQ,MATCH($A56,AP_FECH,0)),"")</f>
        <v/>
      </c>
      <c r="E56" s="12">
        <f>IF($B56="","",VLOOKUP($D56,CAD,5,FALSE))</f>
        <v/>
      </c>
      <c r="F56" s="12">
        <f>IF($B56="","",VLOOKUP($D56,CAD,5,FALSE)-VLOOKUP($D56,CAD,10,FALSE))</f>
        <v/>
      </c>
      <c r="G56" s="15">
        <f>IF($B56="","",SUMIFS(AP_DUR,AP_DATA,$B56,AP_TURNO,$C56,AP_EQ,$D56,AP_CLASSE,"Planejada"))</f>
        <v/>
      </c>
      <c r="H56" s="15">
        <f>IF($B56="","",E56-F56-G56)</f>
        <v/>
      </c>
      <c r="I56" s="15">
        <f>IF($B56="","",SUMIFS(AP_DUR,AP_DATA,$B56,AP_TURNO,$C56,AP_EQ,$D56,AP_CLASSE,"Não planejada"))</f>
        <v/>
      </c>
      <c r="J56" s="15">
        <f>IF($B56="","",H56-I56)</f>
        <v/>
      </c>
      <c r="K56" s="6">
        <f>IF($B56="","",IF(I56&gt;H56,"ERRO",""))</f>
        <v/>
      </c>
      <c r="L56" s="18">
        <f>IF($B56="","",IFERROR(J56/H56,""))</f>
        <v/>
      </c>
      <c r="M56" s="15">
        <f>IF($B56="","",VLOOKUP($D56,CAD,3,FALSE))</f>
        <v/>
      </c>
      <c r="N56" s="19">
        <f>IF($B56="","",INDEX(AP_PROD,MATCH($A56,AP_FECH,0)))</f>
        <v/>
      </c>
      <c r="O56" s="19">
        <f>IF($B56="","",J56*M56)</f>
        <v/>
      </c>
      <c r="P56" s="18">
        <f>IF($B56="","",IFERROR(N56/O56,""))</f>
        <v/>
      </c>
      <c r="Q56" s="19">
        <f>IF($B56="","",INDEX(AP_REF,MATCH($A56,AP_FECH,0)))</f>
        <v/>
      </c>
      <c r="R56" s="19">
        <f>IF($B56="","",INDEX(AP_RET,MATCH($A56,AP_FECH,0)))</f>
        <v/>
      </c>
      <c r="S56" s="19">
        <f>IF($B56="","",N56-Q56-R56)</f>
        <v/>
      </c>
      <c r="T56" s="18">
        <f>IF($B56="","",IFERROR(S56/N56,""))</f>
        <v/>
      </c>
      <c r="U56" s="18">
        <f>IF($B56="","",IFERROR(L56*P56*T56,""))</f>
        <v/>
      </c>
      <c r="V56" s="18">
        <f>IF($B56="","",IFERROR(S56/M56/H56,""))</f>
        <v/>
      </c>
      <c r="W56" s="20">
        <f>IF($B56="","",IFERROR(ROUND(U56-V56,6),""))</f>
        <v/>
      </c>
      <c r="X56" s="6">
        <f>IF($B56="","",IF(OR(K56="ERRO",W56&lt;&gt;0),"NÃO PUBLICAR",IF(P56&gt;1,"VERIFICAR: desempenho &gt; 100%","OK: as duas vias fecham")))</f>
        <v/>
      </c>
      <c r="Y56" s="15">
        <f>IF($B56="","",I56)</f>
        <v/>
      </c>
      <c r="Z56" s="15">
        <f>IF($B56="","",J56-N56/M56)</f>
        <v/>
      </c>
      <c r="AA56" s="15">
        <f>IF($B56="","",(Q56+R56)/M56)</f>
        <v/>
      </c>
      <c r="AB56" s="15">
        <f>IF($B56="","",S56/M56)</f>
        <v/>
      </c>
      <c r="AC56" s="15">
        <f>IF($B56="","",Y56+Z56+AA56+AB56)</f>
        <v/>
      </c>
      <c r="AD56" s="15">
        <f>IF($B56="","",AE56/M56)</f>
        <v/>
      </c>
      <c r="AE56" s="19">
        <f>IF($B56="","",INDEX(AP_ARR,MATCH($A56,AP_FECH,0)))</f>
        <v/>
      </c>
    </row>
    <row r="57">
      <c r="A57" s="12" t="n">
        <v>52</v>
      </c>
      <c r="B57" s="17">
        <f>IFERROR(INDEX(AP_DATA,MATCH($A57,AP_FECH,0)),"")</f>
        <v/>
      </c>
      <c r="C57" s="6">
        <f>IFERROR(INDEX(AP_TURNO,MATCH($A57,AP_FECH,0)),"")</f>
        <v/>
      </c>
      <c r="D57" s="6">
        <f>IFERROR(INDEX(AP_EQ,MATCH($A57,AP_FECH,0)),"")</f>
        <v/>
      </c>
      <c r="E57" s="12">
        <f>IF($B57="","",VLOOKUP($D57,CAD,5,FALSE))</f>
        <v/>
      </c>
      <c r="F57" s="12">
        <f>IF($B57="","",VLOOKUP($D57,CAD,5,FALSE)-VLOOKUP($D57,CAD,10,FALSE))</f>
        <v/>
      </c>
      <c r="G57" s="15">
        <f>IF($B57="","",SUMIFS(AP_DUR,AP_DATA,$B57,AP_TURNO,$C57,AP_EQ,$D57,AP_CLASSE,"Planejada"))</f>
        <v/>
      </c>
      <c r="H57" s="15">
        <f>IF($B57="","",E57-F57-G57)</f>
        <v/>
      </c>
      <c r="I57" s="15">
        <f>IF($B57="","",SUMIFS(AP_DUR,AP_DATA,$B57,AP_TURNO,$C57,AP_EQ,$D57,AP_CLASSE,"Não planejada"))</f>
        <v/>
      </c>
      <c r="J57" s="15">
        <f>IF($B57="","",H57-I57)</f>
        <v/>
      </c>
      <c r="K57" s="6">
        <f>IF($B57="","",IF(I57&gt;H57,"ERRO",""))</f>
        <v/>
      </c>
      <c r="L57" s="18">
        <f>IF($B57="","",IFERROR(J57/H57,""))</f>
        <v/>
      </c>
      <c r="M57" s="15">
        <f>IF($B57="","",VLOOKUP($D57,CAD,3,FALSE))</f>
        <v/>
      </c>
      <c r="N57" s="19">
        <f>IF($B57="","",INDEX(AP_PROD,MATCH($A57,AP_FECH,0)))</f>
        <v/>
      </c>
      <c r="O57" s="19">
        <f>IF($B57="","",J57*M57)</f>
        <v/>
      </c>
      <c r="P57" s="18">
        <f>IF($B57="","",IFERROR(N57/O57,""))</f>
        <v/>
      </c>
      <c r="Q57" s="19">
        <f>IF($B57="","",INDEX(AP_REF,MATCH($A57,AP_FECH,0)))</f>
        <v/>
      </c>
      <c r="R57" s="19">
        <f>IF($B57="","",INDEX(AP_RET,MATCH($A57,AP_FECH,0)))</f>
        <v/>
      </c>
      <c r="S57" s="19">
        <f>IF($B57="","",N57-Q57-R57)</f>
        <v/>
      </c>
      <c r="T57" s="18">
        <f>IF($B57="","",IFERROR(S57/N57,""))</f>
        <v/>
      </c>
      <c r="U57" s="18">
        <f>IF($B57="","",IFERROR(L57*P57*T57,""))</f>
        <v/>
      </c>
      <c r="V57" s="18">
        <f>IF($B57="","",IFERROR(S57/M57/H57,""))</f>
        <v/>
      </c>
      <c r="W57" s="20">
        <f>IF($B57="","",IFERROR(ROUND(U57-V57,6),""))</f>
        <v/>
      </c>
      <c r="X57" s="6">
        <f>IF($B57="","",IF(OR(K57="ERRO",W57&lt;&gt;0),"NÃO PUBLICAR",IF(P57&gt;1,"VERIFICAR: desempenho &gt; 100%","OK: as duas vias fecham")))</f>
        <v/>
      </c>
      <c r="Y57" s="15">
        <f>IF($B57="","",I57)</f>
        <v/>
      </c>
      <c r="Z57" s="15">
        <f>IF($B57="","",J57-N57/M57)</f>
        <v/>
      </c>
      <c r="AA57" s="15">
        <f>IF($B57="","",(Q57+R57)/M57)</f>
        <v/>
      </c>
      <c r="AB57" s="15">
        <f>IF($B57="","",S57/M57)</f>
        <v/>
      </c>
      <c r="AC57" s="15">
        <f>IF($B57="","",Y57+Z57+AA57+AB57)</f>
        <v/>
      </c>
      <c r="AD57" s="15">
        <f>IF($B57="","",AE57/M57)</f>
        <v/>
      </c>
      <c r="AE57" s="19">
        <f>IF($B57="","",INDEX(AP_ARR,MATCH($A57,AP_FECH,0)))</f>
        <v/>
      </c>
    </row>
    <row r="58">
      <c r="A58" s="12" t="n">
        <v>53</v>
      </c>
      <c r="B58" s="17">
        <f>IFERROR(INDEX(AP_DATA,MATCH($A58,AP_FECH,0)),"")</f>
        <v/>
      </c>
      <c r="C58" s="6">
        <f>IFERROR(INDEX(AP_TURNO,MATCH($A58,AP_FECH,0)),"")</f>
        <v/>
      </c>
      <c r="D58" s="6">
        <f>IFERROR(INDEX(AP_EQ,MATCH($A58,AP_FECH,0)),"")</f>
        <v/>
      </c>
      <c r="E58" s="12">
        <f>IF($B58="","",VLOOKUP($D58,CAD,5,FALSE))</f>
        <v/>
      </c>
      <c r="F58" s="12">
        <f>IF($B58="","",VLOOKUP($D58,CAD,5,FALSE)-VLOOKUP($D58,CAD,10,FALSE))</f>
        <v/>
      </c>
      <c r="G58" s="15">
        <f>IF($B58="","",SUMIFS(AP_DUR,AP_DATA,$B58,AP_TURNO,$C58,AP_EQ,$D58,AP_CLASSE,"Planejada"))</f>
        <v/>
      </c>
      <c r="H58" s="15">
        <f>IF($B58="","",E58-F58-G58)</f>
        <v/>
      </c>
      <c r="I58" s="15">
        <f>IF($B58="","",SUMIFS(AP_DUR,AP_DATA,$B58,AP_TURNO,$C58,AP_EQ,$D58,AP_CLASSE,"Não planejada"))</f>
        <v/>
      </c>
      <c r="J58" s="15">
        <f>IF($B58="","",H58-I58)</f>
        <v/>
      </c>
      <c r="K58" s="6">
        <f>IF($B58="","",IF(I58&gt;H58,"ERRO",""))</f>
        <v/>
      </c>
      <c r="L58" s="18">
        <f>IF($B58="","",IFERROR(J58/H58,""))</f>
        <v/>
      </c>
      <c r="M58" s="15">
        <f>IF($B58="","",VLOOKUP($D58,CAD,3,FALSE))</f>
        <v/>
      </c>
      <c r="N58" s="19">
        <f>IF($B58="","",INDEX(AP_PROD,MATCH($A58,AP_FECH,0)))</f>
        <v/>
      </c>
      <c r="O58" s="19">
        <f>IF($B58="","",J58*M58)</f>
        <v/>
      </c>
      <c r="P58" s="18">
        <f>IF($B58="","",IFERROR(N58/O58,""))</f>
        <v/>
      </c>
      <c r="Q58" s="19">
        <f>IF($B58="","",INDEX(AP_REF,MATCH($A58,AP_FECH,0)))</f>
        <v/>
      </c>
      <c r="R58" s="19">
        <f>IF($B58="","",INDEX(AP_RET,MATCH($A58,AP_FECH,0)))</f>
        <v/>
      </c>
      <c r="S58" s="19">
        <f>IF($B58="","",N58-Q58-R58)</f>
        <v/>
      </c>
      <c r="T58" s="18">
        <f>IF($B58="","",IFERROR(S58/N58,""))</f>
        <v/>
      </c>
      <c r="U58" s="18">
        <f>IF($B58="","",IFERROR(L58*P58*T58,""))</f>
        <v/>
      </c>
      <c r="V58" s="18">
        <f>IF($B58="","",IFERROR(S58/M58/H58,""))</f>
        <v/>
      </c>
      <c r="W58" s="20">
        <f>IF($B58="","",IFERROR(ROUND(U58-V58,6),""))</f>
        <v/>
      </c>
      <c r="X58" s="6">
        <f>IF($B58="","",IF(OR(K58="ERRO",W58&lt;&gt;0),"NÃO PUBLICAR",IF(P58&gt;1,"VERIFICAR: desempenho &gt; 100%","OK: as duas vias fecham")))</f>
        <v/>
      </c>
      <c r="Y58" s="15">
        <f>IF($B58="","",I58)</f>
        <v/>
      </c>
      <c r="Z58" s="15">
        <f>IF($B58="","",J58-N58/M58)</f>
        <v/>
      </c>
      <c r="AA58" s="15">
        <f>IF($B58="","",(Q58+R58)/M58)</f>
        <v/>
      </c>
      <c r="AB58" s="15">
        <f>IF($B58="","",S58/M58)</f>
        <v/>
      </c>
      <c r="AC58" s="15">
        <f>IF($B58="","",Y58+Z58+AA58+AB58)</f>
        <v/>
      </c>
      <c r="AD58" s="15">
        <f>IF($B58="","",AE58/M58)</f>
        <v/>
      </c>
      <c r="AE58" s="19">
        <f>IF($B58="","",INDEX(AP_ARR,MATCH($A58,AP_FECH,0)))</f>
        <v/>
      </c>
    </row>
    <row r="59">
      <c r="A59" s="12" t="n">
        <v>54</v>
      </c>
      <c r="B59" s="17">
        <f>IFERROR(INDEX(AP_DATA,MATCH($A59,AP_FECH,0)),"")</f>
        <v/>
      </c>
      <c r="C59" s="6">
        <f>IFERROR(INDEX(AP_TURNO,MATCH($A59,AP_FECH,0)),"")</f>
        <v/>
      </c>
      <c r="D59" s="6">
        <f>IFERROR(INDEX(AP_EQ,MATCH($A59,AP_FECH,0)),"")</f>
        <v/>
      </c>
      <c r="E59" s="12">
        <f>IF($B59="","",VLOOKUP($D59,CAD,5,FALSE))</f>
        <v/>
      </c>
      <c r="F59" s="12">
        <f>IF($B59="","",VLOOKUP($D59,CAD,5,FALSE)-VLOOKUP($D59,CAD,10,FALSE))</f>
        <v/>
      </c>
      <c r="G59" s="15">
        <f>IF($B59="","",SUMIFS(AP_DUR,AP_DATA,$B59,AP_TURNO,$C59,AP_EQ,$D59,AP_CLASSE,"Planejada"))</f>
        <v/>
      </c>
      <c r="H59" s="15">
        <f>IF($B59="","",E59-F59-G59)</f>
        <v/>
      </c>
      <c r="I59" s="15">
        <f>IF($B59="","",SUMIFS(AP_DUR,AP_DATA,$B59,AP_TURNO,$C59,AP_EQ,$D59,AP_CLASSE,"Não planejada"))</f>
        <v/>
      </c>
      <c r="J59" s="15">
        <f>IF($B59="","",H59-I59)</f>
        <v/>
      </c>
      <c r="K59" s="6">
        <f>IF($B59="","",IF(I59&gt;H59,"ERRO",""))</f>
        <v/>
      </c>
      <c r="L59" s="18">
        <f>IF($B59="","",IFERROR(J59/H59,""))</f>
        <v/>
      </c>
      <c r="M59" s="15">
        <f>IF($B59="","",VLOOKUP($D59,CAD,3,FALSE))</f>
        <v/>
      </c>
      <c r="N59" s="19">
        <f>IF($B59="","",INDEX(AP_PROD,MATCH($A59,AP_FECH,0)))</f>
        <v/>
      </c>
      <c r="O59" s="19">
        <f>IF($B59="","",J59*M59)</f>
        <v/>
      </c>
      <c r="P59" s="18">
        <f>IF($B59="","",IFERROR(N59/O59,""))</f>
        <v/>
      </c>
      <c r="Q59" s="19">
        <f>IF($B59="","",INDEX(AP_REF,MATCH($A59,AP_FECH,0)))</f>
        <v/>
      </c>
      <c r="R59" s="19">
        <f>IF($B59="","",INDEX(AP_RET,MATCH($A59,AP_FECH,0)))</f>
        <v/>
      </c>
      <c r="S59" s="19">
        <f>IF($B59="","",N59-Q59-R59)</f>
        <v/>
      </c>
      <c r="T59" s="18">
        <f>IF($B59="","",IFERROR(S59/N59,""))</f>
        <v/>
      </c>
      <c r="U59" s="18">
        <f>IF($B59="","",IFERROR(L59*P59*T59,""))</f>
        <v/>
      </c>
      <c r="V59" s="18">
        <f>IF($B59="","",IFERROR(S59/M59/H59,""))</f>
        <v/>
      </c>
      <c r="W59" s="20">
        <f>IF($B59="","",IFERROR(ROUND(U59-V59,6),""))</f>
        <v/>
      </c>
      <c r="X59" s="6">
        <f>IF($B59="","",IF(OR(K59="ERRO",W59&lt;&gt;0),"NÃO PUBLICAR",IF(P59&gt;1,"VERIFICAR: desempenho &gt; 100%","OK: as duas vias fecham")))</f>
        <v/>
      </c>
      <c r="Y59" s="15">
        <f>IF($B59="","",I59)</f>
        <v/>
      </c>
      <c r="Z59" s="15">
        <f>IF($B59="","",J59-N59/M59)</f>
        <v/>
      </c>
      <c r="AA59" s="15">
        <f>IF($B59="","",(Q59+R59)/M59)</f>
        <v/>
      </c>
      <c r="AB59" s="15">
        <f>IF($B59="","",S59/M59)</f>
        <v/>
      </c>
      <c r="AC59" s="15">
        <f>IF($B59="","",Y59+Z59+AA59+AB59)</f>
        <v/>
      </c>
      <c r="AD59" s="15">
        <f>IF($B59="","",AE59/M59)</f>
        <v/>
      </c>
      <c r="AE59" s="19">
        <f>IF($B59="","",INDEX(AP_ARR,MATCH($A59,AP_FECH,0)))</f>
        <v/>
      </c>
    </row>
    <row r="60">
      <c r="A60" s="12" t="n">
        <v>55</v>
      </c>
      <c r="B60" s="17">
        <f>IFERROR(INDEX(AP_DATA,MATCH($A60,AP_FECH,0)),"")</f>
        <v/>
      </c>
      <c r="C60" s="6">
        <f>IFERROR(INDEX(AP_TURNO,MATCH($A60,AP_FECH,0)),"")</f>
        <v/>
      </c>
      <c r="D60" s="6">
        <f>IFERROR(INDEX(AP_EQ,MATCH($A60,AP_FECH,0)),"")</f>
        <v/>
      </c>
      <c r="E60" s="12">
        <f>IF($B60="","",VLOOKUP($D60,CAD,5,FALSE))</f>
        <v/>
      </c>
      <c r="F60" s="12">
        <f>IF($B60="","",VLOOKUP($D60,CAD,5,FALSE)-VLOOKUP($D60,CAD,10,FALSE))</f>
        <v/>
      </c>
      <c r="G60" s="15">
        <f>IF($B60="","",SUMIFS(AP_DUR,AP_DATA,$B60,AP_TURNO,$C60,AP_EQ,$D60,AP_CLASSE,"Planejada"))</f>
        <v/>
      </c>
      <c r="H60" s="15">
        <f>IF($B60="","",E60-F60-G60)</f>
        <v/>
      </c>
      <c r="I60" s="15">
        <f>IF($B60="","",SUMIFS(AP_DUR,AP_DATA,$B60,AP_TURNO,$C60,AP_EQ,$D60,AP_CLASSE,"Não planejada"))</f>
        <v/>
      </c>
      <c r="J60" s="15">
        <f>IF($B60="","",H60-I60)</f>
        <v/>
      </c>
      <c r="K60" s="6">
        <f>IF($B60="","",IF(I60&gt;H60,"ERRO",""))</f>
        <v/>
      </c>
      <c r="L60" s="18">
        <f>IF($B60="","",IFERROR(J60/H60,""))</f>
        <v/>
      </c>
      <c r="M60" s="15">
        <f>IF($B60="","",VLOOKUP($D60,CAD,3,FALSE))</f>
        <v/>
      </c>
      <c r="N60" s="19">
        <f>IF($B60="","",INDEX(AP_PROD,MATCH($A60,AP_FECH,0)))</f>
        <v/>
      </c>
      <c r="O60" s="19">
        <f>IF($B60="","",J60*M60)</f>
        <v/>
      </c>
      <c r="P60" s="18">
        <f>IF($B60="","",IFERROR(N60/O60,""))</f>
        <v/>
      </c>
      <c r="Q60" s="19">
        <f>IF($B60="","",INDEX(AP_REF,MATCH($A60,AP_FECH,0)))</f>
        <v/>
      </c>
      <c r="R60" s="19">
        <f>IF($B60="","",INDEX(AP_RET,MATCH($A60,AP_FECH,0)))</f>
        <v/>
      </c>
      <c r="S60" s="19">
        <f>IF($B60="","",N60-Q60-R60)</f>
        <v/>
      </c>
      <c r="T60" s="18">
        <f>IF($B60="","",IFERROR(S60/N60,""))</f>
        <v/>
      </c>
      <c r="U60" s="18">
        <f>IF($B60="","",IFERROR(L60*P60*T60,""))</f>
        <v/>
      </c>
      <c r="V60" s="18">
        <f>IF($B60="","",IFERROR(S60/M60/H60,""))</f>
        <v/>
      </c>
      <c r="W60" s="20">
        <f>IF($B60="","",IFERROR(ROUND(U60-V60,6),""))</f>
        <v/>
      </c>
      <c r="X60" s="6">
        <f>IF($B60="","",IF(OR(K60="ERRO",W60&lt;&gt;0),"NÃO PUBLICAR",IF(P60&gt;1,"VERIFICAR: desempenho &gt; 100%","OK: as duas vias fecham")))</f>
        <v/>
      </c>
      <c r="Y60" s="15">
        <f>IF($B60="","",I60)</f>
        <v/>
      </c>
      <c r="Z60" s="15">
        <f>IF($B60="","",J60-N60/M60)</f>
        <v/>
      </c>
      <c r="AA60" s="15">
        <f>IF($B60="","",(Q60+R60)/M60)</f>
        <v/>
      </c>
      <c r="AB60" s="15">
        <f>IF($B60="","",S60/M60)</f>
        <v/>
      </c>
      <c r="AC60" s="15">
        <f>IF($B60="","",Y60+Z60+AA60+AB60)</f>
        <v/>
      </c>
      <c r="AD60" s="15">
        <f>IF($B60="","",AE60/M60)</f>
        <v/>
      </c>
      <c r="AE60" s="19">
        <f>IF($B60="","",INDEX(AP_ARR,MATCH($A60,AP_FECH,0)))</f>
        <v/>
      </c>
    </row>
    <row r="61">
      <c r="A61" s="12" t="n">
        <v>56</v>
      </c>
      <c r="B61" s="17">
        <f>IFERROR(INDEX(AP_DATA,MATCH($A61,AP_FECH,0)),"")</f>
        <v/>
      </c>
      <c r="C61" s="6">
        <f>IFERROR(INDEX(AP_TURNO,MATCH($A61,AP_FECH,0)),"")</f>
        <v/>
      </c>
      <c r="D61" s="6">
        <f>IFERROR(INDEX(AP_EQ,MATCH($A61,AP_FECH,0)),"")</f>
        <v/>
      </c>
      <c r="E61" s="12">
        <f>IF($B61="","",VLOOKUP($D61,CAD,5,FALSE))</f>
        <v/>
      </c>
      <c r="F61" s="12">
        <f>IF($B61="","",VLOOKUP($D61,CAD,5,FALSE)-VLOOKUP($D61,CAD,10,FALSE))</f>
        <v/>
      </c>
      <c r="G61" s="15">
        <f>IF($B61="","",SUMIFS(AP_DUR,AP_DATA,$B61,AP_TURNO,$C61,AP_EQ,$D61,AP_CLASSE,"Planejada"))</f>
        <v/>
      </c>
      <c r="H61" s="15">
        <f>IF($B61="","",E61-F61-G61)</f>
        <v/>
      </c>
      <c r="I61" s="15">
        <f>IF($B61="","",SUMIFS(AP_DUR,AP_DATA,$B61,AP_TURNO,$C61,AP_EQ,$D61,AP_CLASSE,"Não planejada"))</f>
        <v/>
      </c>
      <c r="J61" s="15">
        <f>IF($B61="","",H61-I61)</f>
        <v/>
      </c>
      <c r="K61" s="6">
        <f>IF($B61="","",IF(I61&gt;H61,"ERRO",""))</f>
        <v/>
      </c>
      <c r="L61" s="18">
        <f>IF($B61="","",IFERROR(J61/H61,""))</f>
        <v/>
      </c>
      <c r="M61" s="15">
        <f>IF($B61="","",VLOOKUP($D61,CAD,3,FALSE))</f>
        <v/>
      </c>
      <c r="N61" s="19">
        <f>IF($B61="","",INDEX(AP_PROD,MATCH($A61,AP_FECH,0)))</f>
        <v/>
      </c>
      <c r="O61" s="19">
        <f>IF($B61="","",J61*M61)</f>
        <v/>
      </c>
      <c r="P61" s="18">
        <f>IF($B61="","",IFERROR(N61/O61,""))</f>
        <v/>
      </c>
      <c r="Q61" s="19">
        <f>IF($B61="","",INDEX(AP_REF,MATCH($A61,AP_FECH,0)))</f>
        <v/>
      </c>
      <c r="R61" s="19">
        <f>IF($B61="","",INDEX(AP_RET,MATCH($A61,AP_FECH,0)))</f>
        <v/>
      </c>
      <c r="S61" s="19">
        <f>IF($B61="","",N61-Q61-R61)</f>
        <v/>
      </c>
      <c r="T61" s="18">
        <f>IF($B61="","",IFERROR(S61/N61,""))</f>
        <v/>
      </c>
      <c r="U61" s="18">
        <f>IF($B61="","",IFERROR(L61*P61*T61,""))</f>
        <v/>
      </c>
      <c r="V61" s="18">
        <f>IF($B61="","",IFERROR(S61/M61/H61,""))</f>
        <v/>
      </c>
      <c r="W61" s="20">
        <f>IF($B61="","",IFERROR(ROUND(U61-V61,6),""))</f>
        <v/>
      </c>
      <c r="X61" s="6">
        <f>IF($B61="","",IF(OR(K61="ERRO",W61&lt;&gt;0),"NÃO PUBLICAR",IF(P61&gt;1,"VERIFICAR: desempenho &gt; 100%","OK: as duas vias fecham")))</f>
        <v/>
      </c>
      <c r="Y61" s="15">
        <f>IF($B61="","",I61)</f>
        <v/>
      </c>
      <c r="Z61" s="15">
        <f>IF($B61="","",J61-N61/M61)</f>
        <v/>
      </c>
      <c r="AA61" s="15">
        <f>IF($B61="","",(Q61+R61)/M61)</f>
        <v/>
      </c>
      <c r="AB61" s="15">
        <f>IF($B61="","",S61/M61)</f>
        <v/>
      </c>
      <c r="AC61" s="15">
        <f>IF($B61="","",Y61+Z61+AA61+AB61)</f>
        <v/>
      </c>
      <c r="AD61" s="15">
        <f>IF($B61="","",AE61/M61)</f>
        <v/>
      </c>
      <c r="AE61" s="19">
        <f>IF($B61="","",INDEX(AP_ARR,MATCH($A61,AP_FECH,0)))</f>
        <v/>
      </c>
    </row>
    <row r="62">
      <c r="A62" s="12" t="n">
        <v>57</v>
      </c>
      <c r="B62" s="17">
        <f>IFERROR(INDEX(AP_DATA,MATCH($A62,AP_FECH,0)),"")</f>
        <v/>
      </c>
      <c r="C62" s="6">
        <f>IFERROR(INDEX(AP_TURNO,MATCH($A62,AP_FECH,0)),"")</f>
        <v/>
      </c>
      <c r="D62" s="6">
        <f>IFERROR(INDEX(AP_EQ,MATCH($A62,AP_FECH,0)),"")</f>
        <v/>
      </c>
      <c r="E62" s="12">
        <f>IF($B62="","",VLOOKUP($D62,CAD,5,FALSE))</f>
        <v/>
      </c>
      <c r="F62" s="12">
        <f>IF($B62="","",VLOOKUP($D62,CAD,5,FALSE)-VLOOKUP($D62,CAD,10,FALSE))</f>
        <v/>
      </c>
      <c r="G62" s="15">
        <f>IF($B62="","",SUMIFS(AP_DUR,AP_DATA,$B62,AP_TURNO,$C62,AP_EQ,$D62,AP_CLASSE,"Planejada"))</f>
        <v/>
      </c>
      <c r="H62" s="15">
        <f>IF($B62="","",E62-F62-G62)</f>
        <v/>
      </c>
      <c r="I62" s="15">
        <f>IF($B62="","",SUMIFS(AP_DUR,AP_DATA,$B62,AP_TURNO,$C62,AP_EQ,$D62,AP_CLASSE,"Não planejada"))</f>
        <v/>
      </c>
      <c r="J62" s="15">
        <f>IF($B62="","",H62-I62)</f>
        <v/>
      </c>
      <c r="K62" s="6">
        <f>IF($B62="","",IF(I62&gt;H62,"ERRO",""))</f>
        <v/>
      </c>
      <c r="L62" s="18">
        <f>IF($B62="","",IFERROR(J62/H62,""))</f>
        <v/>
      </c>
      <c r="M62" s="15">
        <f>IF($B62="","",VLOOKUP($D62,CAD,3,FALSE))</f>
        <v/>
      </c>
      <c r="N62" s="19">
        <f>IF($B62="","",INDEX(AP_PROD,MATCH($A62,AP_FECH,0)))</f>
        <v/>
      </c>
      <c r="O62" s="19">
        <f>IF($B62="","",J62*M62)</f>
        <v/>
      </c>
      <c r="P62" s="18">
        <f>IF($B62="","",IFERROR(N62/O62,""))</f>
        <v/>
      </c>
      <c r="Q62" s="19">
        <f>IF($B62="","",INDEX(AP_REF,MATCH($A62,AP_FECH,0)))</f>
        <v/>
      </c>
      <c r="R62" s="19">
        <f>IF($B62="","",INDEX(AP_RET,MATCH($A62,AP_FECH,0)))</f>
        <v/>
      </c>
      <c r="S62" s="19">
        <f>IF($B62="","",N62-Q62-R62)</f>
        <v/>
      </c>
      <c r="T62" s="18">
        <f>IF($B62="","",IFERROR(S62/N62,""))</f>
        <v/>
      </c>
      <c r="U62" s="18">
        <f>IF($B62="","",IFERROR(L62*P62*T62,""))</f>
        <v/>
      </c>
      <c r="V62" s="18">
        <f>IF($B62="","",IFERROR(S62/M62/H62,""))</f>
        <v/>
      </c>
      <c r="W62" s="20">
        <f>IF($B62="","",IFERROR(ROUND(U62-V62,6),""))</f>
        <v/>
      </c>
      <c r="X62" s="6">
        <f>IF($B62="","",IF(OR(K62="ERRO",W62&lt;&gt;0),"NÃO PUBLICAR",IF(P62&gt;1,"VERIFICAR: desempenho &gt; 100%","OK: as duas vias fecham")))</f>
        <v/>
      </c>
      <c r="Y62" s="15">
        <f>IF($B62="","",I62)</f>
        <v/>
      </c>
      <c r="Z62" s="15">
        <f>IF($B62="","",J62-N62/M62)</f>
        <v/>
      </c>
      <c r="AA62" s="15">
        <f>IF($B62="","",(Q62+R62)/M62)</f>
        <v/>
      </c>
      <c r="AB62" s="15">
        <f>IF($B62="","",S62/M62)</f>
        <v/>
      </c>
      <c r="AC62" s="15">
        <f>IF($B62="","",Y62+Z62+AA62+AB62)</f>
        <v/>
      </c>
      <c r="AD62" s="15">
        <f>IF($B62="","",AE62/M62)</f>
        <v/>
      </c>
      <c r="AE62" s="19">
        <f>IF($B62="","",INDEX(AP_ARR,MATCH($A62,AP_FECH,0)))</f>
        <v/>
      </c>
    </row>
    <row r="63">
      <c r="A63" s="12" t="n">
        <v>58</v>
      </c>
      <c r="B63" s="17">
        <f>IFERROR(INDEX(AP_DATA,MATCH($A63,AP_FECH,0)),"")</f>
        <v/>
      </c>
      <c r="C63" s="6">
        <f>IFERROR(INDEX(AP_TURNO,MATCH($A63,AP_FECH,0)),"")</f>
        <v/>
      </c>
      <c r="D63" s="6">
        <f>IFERROR(INDEX(AP_EQ,MATCH($A63,AP_FECH,0)),"")</f>
        <v/>
      </c>
      <c r="E63" s="12">
        <f>IF($B63="","",VLOOKUP($D63,CAD,5,FALSE))</f>
        <v/>
      </c>
      <c r="F63" s="12">
        <f>IF($B63="","",VLOOKUP($D63,CAD,5,FALSE)-VLOOKUP($D63,CAD,10,FALSE))</f>
        <v/>
      </c>
      <c r="G63" s="15">
        <f>IF($B63="","",SUMIFS(AP_DUR,AP_DATA,$B63,AP_TURNO,$C63,AP_EQ,$D63,AP_CLASSE,"Planejada"))</f>
        <v/>
      </c>
      <c r="H63" s="15">
        <f>IF($B63="","",E63-F63-G63)</f>
        <v/>
      </c>
      <c r="I63" s="15">
        <f>IF($B63="","",SUMIFS(AP_DUR,AP_DATA,$B63,AP_TURNO,$C63,AP_EQ,$D63,AP_CLASSE,"Não planejada"))</f>
        <v/>
      </c>
      <c r="J63" s="15">
        <f>IF($B63="","",H63-I63)</f>
        <v/>
      </c>
      <c r="K63" s="6">
        <f>IF($B63="","",IF(I63&gt;H63,"ERRO",""))</f>
        <v/>
      </c>
      <c r="L63" s="18">
        <f>IF($B63="","",IFERROR(J63/H63,""))</f>
        <v/>
      </c>
      <c r="M63" s="15">
        <f>IF($B63="","",VLOOKUP($D63,CAD,3,FALSE))</f>
        <v/>
      </c>
      <c r="N63" s="19">
        <f>IF($B63="","",INDEX(AP_PROD,MATCH($A63,AP_FECH,0)))</f>
        <v/>
      </c>
      <c r="O63" s="19">
        <f>IF($B63="","",J63*M63)</f>
        <v/>
      </c>
      <c r="P63" s="18">
        <f>IF($B63="","",IFERROR(N63/O63,""))</f>
        <v/>
      </c>
      <c r="Q63" s="19">
        <f>IF($B63="","",INDEX(AP_REF,MATCH($A63,AP_FECH,0)))</f>
        <v/>
      </c>
      <c r="R63" s="19">
        <f>IF($B63="","",INDEX(AP_RET,MATCH($A63,AP_FECH,0)))</f>
        <v/>
      </c>
      <c r="S63" s="19">
        <f>IF($B63="","",N63-Q63-R63)</f>
        <v/>
      </c>
      <c r="T63" s="18">
        <f>IF($B63="","",IFERROR(S63/N63,""))</f>
        <v/>
      </c>
      <c r="U63" s="18">
        <f>IF($B63="","",IFERROR(L63*P63*T63,""))</f>
        <v/>
      </c>
      <c r="V63" s="18">
        <f>IF($B63="","",IFERROR(S63/M63/H63,""))</f>
        <v/>
      </c>
      <c r="W63" s="20">
        <f>IF($B63="","",IFERROR(ROUND(U63-V63,6),""))</f>
        <v/>
      </c>
      <c r="X63" s="6">
        <f>IF($B63="","",IF(OR(K63="ERRO",W63&lt;&gt;0),"NÃO PUBLICAR",IF(P63&gt;1,"VERIFICAR: desempenho &gt; 100%","OK: as duas vias fecham")))</f>
        <v/>
      </c>
      <c r="Y63" s="15">
        <f>IF($B63="","",I63)</f>
        <v/>
      </c>
      <c r="Z63" s="15">
        <f>IF($B63="","",J63-N63/M63)</f>
        <v/>
      </c>
      <c r="AA63" s="15">
        <f>IF($B63="","",(Q63+R63)/M63)</f>
        <v/>
      </c>
      <c r="AB63" s="15">
        <f>IF($B63="","",S63/M63)</f>
        <v/>
      </c>
      <c r="AC63" s="15">
        <f>IF($B63="","",Y63+Z63+AA63+AB63)</f>
        <v/>
      </c>
      <c r="AD63" s="15">
        <f>IF($B63="","",AE63/M63)</f>
        <v/>
      </c>
      <c r="AE63" s="19">
        <f>IF($B63="","",INDEX(AP_ARR,MATCH($A63,AP_FECH,0)))</f>
        <v/>
      </c>
    </row>
    <row r="64">
      <c r="A64" s="12" t="n">
        <v>59</v>
      </c>
      <c r="B64" s="17">
        <f>IFERROR(INDEX(AP_DATA,MATCH($A64,AP_FECH,0)),"")</f>
        <v/>
      </c>
      <c r="C64" s="6">
        <f>IFERROR(INDEX(AP_TURNO,MATCH($A64,AP_FECH,0)),"")</f>
        <v/>
      </c>
      <c r="D64" s="6">
        <f>IFERROR(INDEX(AP_EQ,MATCH($A64,AP_FECH,0)),"")</f>
        <v/>
      </c>
      <c r="E64" s="12">
        <f>IF($B64="","",VLOOKUP($D64,CAD,5,FALSE))</f>
        <v/>
      </c>
      <c r="F64" s="12">
        <f>IF($B64="","",VLOOKUP($D64,CAD,5,FALSE)-VLOOKUP($D64,CAD,10,FALSE))</f>
        <v/>
      </c>
      <c r="G64" s="15">
        <f>IF($B64="","",SUMIFS(AP_DUR,AP_DATA,$B64,AP_TURNO,$C64,AP_EQ,$D64,AP_CLASSE,"Planejada"))</f>
        <v/>
      </c>
      <c r="H64" s="15">
        <f>IF($B64="","",E64-F64-G64)</f>
        <v/>
      </c>
      <c r="I64" s="15">
        <f>IF($B64="","",SUMIFS(AP_DUR,AP_DATA,$B64,AP_TURNO,$C64,AP_EQ,$D64,AP_CLASSE,"Não planejada"))</f>
        <v/>
      </c>
      <c r="J64" s="15">
        <f>IF($B64="","",H64-I64)</f>
        <v/>
      </c>
      <c r="K64" s="6">
        <f>IF($B64="","",IF(I64&gt;H64,"ERRO",""))</f>
        <v/>
      </c>
      <c r="L64" s="18">
        <f>IF($B64="","",IFERROR(J64/H64,""))</f>
        <v/>
      </c>
      <c r="M64" s="15">
        <f>IF($B64="","",VLOOKUP($D64,CAD,3,FALSE))</f>
        <v/>
      </c>
      <c r="N64" s="19">
        <f>IF($B64="","",INDEX(AP_PROD,MATCH($A64,AP_FECH,0)))</f>
        <v/>
      </c>
      <c r="O64" s="19">
        <f>IF($B64="","",J64*M64)</f>
        <v/>
      </c>
      <c r="P64" s="18">
        <f>IF($B64="","",IFERROR(N64/O64,""))</f>
        <v/>
      </c>
      <c r="Q64" s="19">
        <f>IF($B64="","",INDEX(AP_REF,MATCH($A64,AP_FECH,0)))</f>
        <v/>
      </c>
      <c r="R64" s="19">
        <f>IF($B64="","",INDEX(AP_RET,MATCH($A64,AP_FECH,0)))</f>
        <v/>
      </c>
      <c r="S64" s="19">
        <f>IF($B64="","",N64-Q64-R64)</f>
        <v/>
      </c>
      <c r="T64" s="18">
        <f>IF($B64="","",IFERROR(S64/N64,""))</f>
        <v/>
      </c>
      <c r="U64" s="18">
        <f>IF($B64="","",IFERROR(L64*P64*T64,""))</f>
        <v/>
      </c>
      <c r="V64" s="18">
        <f>IF($B64="","",IFERROR(S64/M64/H64,""))</f>
        <v/>
      </c>
      <c r="W64" s="20">
        <f>IF($B64="","",IFERROR(ROUND(U64-V64,6),""))</f>
        <v/>
      </c>
      <c r="X64" s="6">
        <f>IF($B64="","",IF(OR(K64="ERRO",W64&lt;&gt;0),"NÃO PUBLICAR",IF(P64&gt;1,"VERIFICAR: desempenho &gt; 100%","OK: as duas vias fecham")))</f>
        <v/>
      </c>
      <c r="Y64" s="15">
        <f>IF($B64="","",I64)</f>
        <v/>
      </c>
      <c r="Z64" s="15">
        <f>IF($B64="","",J64-N64/M64)</f>
        <v/>
      </c>
      <c r="AA64" s="15">
        <f>IF($B64="","",(Q64+R64)/M64)</f>
        <v/>
      </c>
      <c r="AB64" s="15">
        <f>IF($B64="","",S64/M64)</f>
        <v/>
      </c>
      <c r="AC64" s="15">
        <f>IF($B64="","",Y64+Z64+AA64+AB64)</f>
        <v/>
      </c>
      <c r="AD64" s="15">
        <f>IF($B64="","",AE64/M64)</f>
        <v/>
      </c>
      <c r="AE64" s="19">
        <f>IF($B64="","",INDEX(AP_ARR,MATCH($A64,AP_FECH,0)))</f>
        <v/>
      </c>
    </row>
    <row r="65">
      <c r="A65" s="12" t="n">
        <v>60</v>
      </c>
      <c r="B65" s="17">
        <f>IFERROR(INDEX(AP_DATA,MATCH($A65,AP_FECH,0)),"")</f>
        <v/>
      </c>
      <c r="C65" s="6">
        <f>IFERROR(INDEX(AP_TURNO,MATCH($A65,AP_FECH,0)),"")</f>
        <v/>
      </c>
      <c r="D65" s="6">
        <f>IFERROR(INDEX(AP_EQ,MATCH($A65,AP_FECH,0)),"")</f>
        <v/>
      </c>
      <c r="E65" s="12">
        <f>IF($B65="","",VLOOKUP($D65,CAD,5,FALSE))</f>
        <v/>
      </c>
      <c r="F65" s="12">
        <f>IF($B65="","",VLOOKUP($D65,CAD,5,FALSE)-VLOOKUP($D65,CAD,10,FALSE))</f>
        <v/>
      </c>
      <c r="G65" s="15">
        <f>IF($B65="","",SUMIFS(AP_DUR,AP_DATA,$B65,AP_TURNO,$C65,AP_EQ,$D65,AP_CLASSE,"Planejada"))</f>
        <v/>
      </c>
      <c r="H65" s="15">
        <f>IF($B65="","",E65-F65-G65)</f>
        <v/>
      </c>
      <c r="I65" s="15">
        <f>IF($B65="","",SUMIFS(AP_DUR,AP_DATA,$B65,AP_TURNO,$C65,AP_EQ,$D65,AP_CLASSE,"Não planejada"))</f>
        <v/>
      </c>
      <c r="J65" s="15">
        <f>IF($B65="","",H65-I65)</f>
        <v/>
      </c>
      <c r="K65" s="6">
        <f>IF($B65="","",IF(I65&gt;H65,"ERRO",""))</f>
        <v/>
      </c>
      <c r="L65" s="18">
        <f>IF($B65="","",IFERROR(J65/H65,""))</f>
        <v/>
      </c>
      <c r="M65" s="15">
        <f>IF($B65="","",VLOOKUP($D65,CAD,3,FALSE))</f>
        <v/>
      </c>
      <c r="N65" s="19">
        <f>IF($B65="","",INDEX(AP_PROD,MATCH($A65,AP_FECH,0)))</f>
        <v/>
      </c>
      <c r="O65" s="19">
        <f>IF($B65="","",J65*M65)</f>
        <v/>
      </c>
      <c r="P65" s="18">
        <f>IF($B65="","",IFERROR(N65/O65,""))</f>
        <v/>
      </c>
      <c r="Q65" s="19">
        <f>IF($B65="","",INDEX(AP_REF,MATCH($A65,AP_FECH,0)))</f>
        <v/>
      </c>
      <c r="R65" s="19">
        <f>IF($B65="","",INDEX(AP_RET,MATCH($A65,AP_FECH,0)))</f>
        <v/>
      </c>
      <c r="S65" s="19">
        <f>IF($B65="","",N65-Q65-R65)</f>
        <v/>
      </c>
      <c r="T65" s="18">
        <f>IF($B65="","",IFERROR(S65/N65,""))</f>
        <v/>
      </c>
      <c r="U65" s="18">
        <f>IF($B65="","",IFERROR(L65*P65*T65,""))</f>
        <v/>
      </c>
      <c r="V65" s="18">
        <f>IF($B65="","",IFERROR(S65/M65/H65,""))</f>
        <v/>
      </c>
      <c r="W65" s="20">
        <f>IF($B65="","",IFERROR(ROUND(U65-V65,6),""))</f>
        <v/>
      </c>
      <c r="X65" s="6">
        <f>IF($B65="","",IF(OR(K65="ERRO",W65&lt;&gt;0),"NÃO PUBLICAR",IF(P65&gt;1,"VERIFICAR: desempenho &gt; 100%","OK: as duas vias fecham")))</f>
        <v/>
      </c>
      <c r="Y65" s="15">
        <f>IF($B65="","",I65)</f>
        <v/>
      </c>
      <c r="Z65" s="15">
        <f>IF($B65="","",J65-N65/M65)</f>
        <v/>
      </c>
      <c r="AA65" s="15">
        <f>IF($B65="","",(Q65+R65)/M65)</f>
        <v/>
      </c>
      <c r="AB65" s="15">
        <f>IF($B65="","",S65/M65)</f>
        <v/>
      </c>
      <c r="AC65" s="15">
        <f>IF($B65="","",Y65+Z65+AA65+AB65)</f>
        <v/>
      </c>
      <c r="AD65" s="15">
        <f>IF($B65="","",AE65/M65)</f>
        <v/>
      </c>
      <c r="AE65" s="19">
        <f>IF($B65="","",INDEX(AP_ARR,MATCH($A65,AP_FECH,0)))</f>
        <v/>
      </c>
    </row>
    <row r="66">
      <c r="A66" s="12" t="n">
        <v>61</v>
      </c>
      <c r="B66" s="17">
        <f>IFERROR(INDEX(AP_DATA,MATCH($A66,AP_FECH,0)),"")</f>
        <v/>
      </c>
      <c r="C66" s="6">
        <f>IFERROR(INDEX(AP_TURNO,MATCH($A66,AP_FECH,0)),"")</f>
        <v/>
      </c>
      <c r="D66" s="6">
        <f>IFERROR(INDEX(AP_EQ,MATCH($A66,AP_FECH,0)),"")</f>
        <v/>
      </c>
      <c r="E66" s="12">
        <f>IF($B66="","",VLOOKUP($D66,CAD,5,FALSE))</f>
        <v/>
      </c>
      <c r="F66" s="12">
        <f>IF($B66="","",VLOOKUP($D66,CAD,5,FALSE)-VLOOKUP($D66,CAD,10,FALSE))</f>
        <v/>
      </c>
      <c r="G66" s="15">
        <f>IF($B66="","",SUMIFS(AP_DUR,AP_DATA,$B66,AP_TURNO,$C66,AP_EQ,$D66,AP_CLASSE,"Planejada"))</f>
        <v/>
      </c>
      <c r="H66" s="15">
        <f>IF($B66="","",E66-F66-G66)</f>
        <v/>
      </c>
      <c r="I66" s="15">
        <f>IF($B66="","",SUMIFS(AP_DUR,AP_DATA,$B66,AP_TURNO,$C66,AP_EQ,$D66,AP_CLASSE,"Não planejada"))</f>
        <v/>
      </c>
      <c r="J66" s="15">
        <f>IF($B66="","",H66-I66)</f>
        <v/>
      </c>
      <c r="K66" s="6">
        <f>IF($B66="","",IF(I66&gt;H66,"ERRO",""))</f>
        <v/>
      </c>
      <c r="L66" s="18">
        <f>IF($B66="","",IFERROR(J66/H66,""))</f>
        <v/>
      </c>
      <c r="M66" s="15">
        <f>IF($B66="","",VLOOKUP($D66,CAD,3,FALSE))</f>
        <v/>
      </c>
      <c r="N66" s="19">
        <f>IF($B66="","",INDEX(AP_PROD,MATCH($A66,AP_FECH,0)))</f>
        <v/>
      </c>
      <c r="O66" s="19">
        <f>IF($B66="","",J66*M66)</f>
        <v/>
      </c>
      <c r="P66" s="18">
        <f>IF($B66="","",IFERROR(N66/O66,""))</f>
        <v/>
      </c>
      <c r="Q66" s="19">
        <f>IF($B66="","",INDEX(AP_REF,MATCH($A66,AP_FECH,0)))</f>
        <v/>
      </c>
      <c r="R66" s="19">
        <f>IF($B66="","",INDEX(AP_RET,MATCH($A66,AP_FECH,0)))</f>
        <v/>
      </c>
      <c r="S66" s="19">
        <f>IF($B66="","",N66-Q66-R66)</f>
        <v/>
      </c>
      <c r="T66" s="18">
        <f>IF($B66="","",IFERROR(S66/N66,""))</f>
        <v/>
      </c>
      <c r="U66" s="18">
        <f>IF($B66="","",IFERROR(L66*P66*T66,""))</f>
        <v/>
      </c>
      <c r="V66" s="18">
        <f>IF($B66="","",IFERROR(S66/M66/H66,""))</f>
        <v/>
      </c>
      <c r="W66" s="20">
        <f>IF($B66="","",IFERROR(ROUND(U66-V66,6),""))</f>
        <v/>
      </c>
      <c r="X66" s="6">
        <f>IF($B66="","",IF(OR(K66="ERRO",W66&lt;&gt;0),"NÃO PUBLICAR",IF(P66&gt;1,"VERIFICAR: desempenho &gt; 100%","OK: as duas vias fecham")))</f>
        <v/>
      </c>
      <c r="Y66" s="15">
        <f>IF($B66="","",I66)</f>
        <v/>
      </c>
      <c r="Z66" s="15">
        <f>IF($B66="","",J66-N66/M66)</f>
        <v/>
      </c>
      <c r="AA66" s="15">
        <f>IF($B66="","",(Q66+R66)/M66)</f>
        <v/>
      </c>
      <c r="AB66" s="15">
        <f>IF($B66="","",S66/M66)</f>
        <v/>
      </c>
      <c r="AC66" s="15">
        <f>IF($B66="","",Y66+Z66+AA66+AB66)</f>
        <v/>
      </c>
      <c r="AD66" s="15">
        <f>IF($B66="","",AE66/M66)</f>
        <v/>
      </c>
      <c r="AE66" s="19">
        <f>IF($B66="","",INDEX(AP_ARR,MATCH($A66,AP_FECH,0)))</f>
        <v/>
      </c>
    </row>
    <row r="67">
      <c r="A67" s="12" t="n">
        <v>62</v>
      </c>
      <c r="B67" s="17">
        <f>IFERROR(INDEX(AP_DATA,MATCH($A67,AP_FECH,0)),"")</f>
        <v/>
      </c>
      <c r="C67" s="6">
        <f>IFERROR(INDEX(AP_TURNO,MATCH($A67,AP_FECH,0)),"")</f>
        <v/>
      </c>
      <c r="D67" s="6">
        <f>IFERROR(INDEX(AP_EQ,MATCH($A67,AP_FECH,0)),"")</f>
        <v/>
      </c>
      <c r="E67" s="12">
        <f>IF($B67="","",VLOOKUP($D67,CAD,5,FALSE))</f>
        <v/>
      </c>
      <c r="F67" s="12">
        <f>IF($B67="","",VLOOKUP($D67,CAD,5,FALSE)-VLOOKUP($D67,CAD,10,FALSE))</f>
        <v/>
      </c>
      <c r="G67" s="15">
        <f>IF($B67="","",SUMIFS(AP_DUR,AP_DATA,$B67,AP_TURNO,$C67,AP_EQ,$D67,AP_CLASSE,"Planejada"))</f>
        <v/>
      </c>
      <c r="H67" s="15">
        <f>IF($B67="","",E67-F67-G67)</f>
        <v/>
      </c>
      <c r="I67" s="15">
        <f>IF($B67="","",SUMIFS(AP_DUR,AP_DATA,$B67,AP_TURNO,$C67,AP_EQ,$D67,AP_CLASSE,"Não planejada"))</f>
        <v/>
      </c>
      <c r="J67" s="15">
        <f>IF($B67="","",H67-I67)</f>
        <v/>
      </c>
      <c r="K67" s="6">
        <f>IF($B67="","",IF(I67&gt;H67,"ERRO",""))</f>
        <v/>
      </c>
      <c r="L67" s="18">
        <f>IF($B67="","",IFERROR(J67/H67,""))</f>
        <v/>
      </c>
      <c r="M67" s="15">
        <f>IF($B67="","",VLOOKUP($D67,CAD,3,FALSE))</f>
        <v/>
      </c>
      <c r="N67" s="19">
        <f>IF($B67="","",INDEX(AP_PROD,MATCH($A67,AP_FECH,0)))</f>
        <v/>
      </c>
      <c r="O67" s="19">
        <f>IF($B67="","",J67*M67)</f>
        <v/>
      </c>
      <c r="P67" s="18">
        <f>IF($B67="","",IFERROR(N67/O67,""))</f>
        <v/>
      </c>
      <c r="Q67" s="19">
        <f>IF($B67="","",INDEX(AP_REF,MATCH($A67,AP_FECH,0)))</f>
        <v/>
      </c>
      <c r="R67" s="19">
        <f>IF($B67="","",INDEX(AP_RET,MATCH($A67,AP_FECH,0)))</f>
        <v/>
      </c>
      <c r="S67" s="19">
        <f>IF($B67="","",N67-Q67-R67)</f>
        <v/>
      </c>
      <c r="T67" s="18">
        <f>IF($B67="","",IFERROR(S67/N67,""))</f>
        <v/>
      </c>
      <c r="U67" s="18">
        <f>IF($B67="","",IFERROR(L67*P67*T67,""))</f>
        <v/>
      </c>
      <c r="V67" s="18">
        <f>IF($B67="","",IFERROR(S67/M67/H67,""))</f>
        <v/>
      </c>
      <c r="W67" s="20">
        <f>IF($B67="","",IFERROR(ROUND(U67-V67,6),""))</f>
        <v/>
      </c>
      <c r="X67" s="6">
        <f>IF($B67="","",IF(OR(K67="ERRO",W67&lt;&gt;0),"NÃO PUBLICAR",IF(P67&gt;1,"VERIFICAR: desempenho &gt; 100%","OK: as duas vias fecham")))</f>
        <v/>
      </c>
      <c r="Y67" s="15">
        <f>IF($B67="","",I67)</f>
        <v/>
      </c>
      <c r="Z67" s="15">
        <f>IF($B67="","",J67-N67/M67)</f>
        <v/>
      </c>
      <c r="AA67" s="15">
        <f>IF($B67="","",(Q67+R67)/M67)</f>
        <v/>
      </c>
      <c r="AB67" s="15">
        <f>IF($B67="","",S67/M67)</f>
        <v/>
      </c>
      <c r="AC67" s="15">
        <f>IF($B67="","",Y67+Z67+AA67+AB67)</f>
        <v/>
      </c>
      <c r="AD67" s="15">
        <f>IF($B67="","",AE67/M67)</f>
        <v/>
      </c>
      <c r="AE67" s="19">
        <f>IF($B67="","",INDEX(AP_ARR,MATCH($A67,AP_FECH,0)))</f>
        <v/>
      </c>
    </row>
    <row r="68">
      <c r="A68" s="12" t="n">
        <v>63</v>
      </c>
      <c r="B68" s="17">
        <f>IFERROR(INDEX(AP_DATA,MATCH($A68,AP_FECH,0)),"")</f>
        <v/>
      </c>
      <c r="C68" s="6">
        <f>IFERROR(INDEX(AP_TURNO,MATCH($A68,AP_FECH,0)),"")</f>
        <v/>
      </c>
      <c r="D68" s="6">
        <f>IFERROR(INDEX(AP_EQ,MATCH($A68,AP_FECH,0)),"")</f>
        <v/>
      </c>
      <c r="E68" s="12">
        <f>IF($B68="","",VLOOKUP($D68,CAD,5,FALSE))</f>
        <v/>
      </c>
      <c r="F68" s="12">
        <f>IF($B68="","",VLOOKUP($D68,CAD,5,FALSE)-VLOOKUP($D68,CAD,10,FALSE))</f>
        <v/>
      </c>
      <c r="G68" s="15">
        <f>IF($B68="","",SUMIFS(AP_DUR,AP_DATA,$B68,AP_TURNO,$C68,AP_EQ,$D68,AP_CLASSE,"Planejada"))</f>
        <v/>
      </c>
      <c r="H68" s="15">
        <f>IF($B68="","",E68-F68-G68)</f>
        <v/>
      </c>
      <c r="I68" s="15">
        <f>IF($B68="","",SUMIFS(AP_DUR,AP_DATA,$B68,AP_TURNO,$C68,AP_EQ,$D68,AP_CLASSE,"Não planejada"))</f>
        <v/>
      </c>
      <c r="J68" s="15">
        <f>IF($B68="","",H68-I68)</f>
        <v/>
      </c>
      <c r="K68" s="6">
        <f>IF($B68="","",IF(I68&gt;H68,"ERRO",""))</f>
        <v/>
      </c>
      <c r="L68" s="18">
        <f>IF($B68="","",IFERROR(J68/H68,""))</f>
        <v/>
      </c>
      <c r="M68" s="15">
        <f>IF($B68="","",VLOOKUP($D68,CAD,3,FALSE))</f>
        <v/>
      </c>
      <c r="N68" s="19">
        <f>IF($B68="","",INDEX(AP_PROD,MATCH($A68,AP_FECH,0)))</f>
        <v/>
      </c>
      <c r="O68" s="19">
        <f>IF($B68="","",J68*M68)</f>
        <v/>
      </c>
      <c r="P68" s="18">
        <f>IF($B68="","",IFERROR(N68/O68,""))</f>
        <v/>
      </c>
      <c r="Q68" s="19">
        <f>IF($B68="","",INDEX(AP_REF,MATCH($A68,AP_FECH,0)))</f>
        <v/>
      </c>
      <c r="R68" s="19">
        <f>IF($B68="","",INDEX(AP_RET,MATCH($A68,AP_FECH,0)))</f>
        <v/>
      </c>
      <c r="S68" s="19">
        <f>IF($B68="","",N68-Q68-R68)</f>
        <v/>
      </c>
      <c r="T68" s="18">
        <f>IF($B68="","",IFERROR(S68/N68,""))</f>
        <v/>
      </c>
      <c r="U68" s="18">
        <f>IF($B68="","",IFERROR(L68*P68*T68,""))</f>
        <v/>
      </c>
      <c r="V68" s="18">
        <f>IF($B68="","",IFERROR(S68/M68/H68,""))</f>
        <v/>
      </c>
      <c r="W68" s="20">
        <f>IF($B68="","",IFERROR(ROUND(U68-V68,6),""))</f>
        <v/>
      </c>
      <c r="X68" s="6">
        <f>IF($B68="","",IF(OR(K68="ERRO",W68&lt;&gt;0),"NÃO PUBLICAR",IF(P68&gt;1,"VERIFICAR: desempenho &gt; 100%","OK: as duas vias fecham")))</f>
        <v/>
      </c>
      <c r="Y68" s="15">
        <f>IF($B68="","",I68)</f>
        <v/>
      </c>
      <c r="Z68" s="15">
        <f>IF($B68="","",J68-N68/M68)</f>
        <v/>
      </c>
      <c r="AA68" s="15">
        <f>IF($B68="","",(Q68+R68)/M68)</f>
        <v/>
      </c>
      <c r="AB68" s="15">
        <f>IF($B68="","",S68/M68)</f>
        <v/>
      </c>
      <c r="AC68" s="15">
        <f>IF($B68="","",Y68+Z68+AA68+AB68)</f>
        <v/>
      </c>
      <c r="AD68" s="15">
        <f>IF($B68="","",AE68/M68)</f>
        <v/>
      </c>
      <c r="AE68" s="19">
        <f>IF($B68="","",INDEX(AP_ARR,MATCH($A68,AP_FECH,0)))</f>
        <v/>
      </c>
    </row>
    <row r="69">
      <c r="A69" s="12" t="n">
        <v>64</v>
      </c>
      <c r="B69" s="17">
        <f>IFERROR(INDEX(AP_DATA,MATCH($A69,AP_FECH,0)),"")</f>
        <v/>
      </c>
      <c r="C69" s="6">
        <f>IFERROR(INDEX(AP_TURNO,MATCH($A69,AP_FECH,0)),"")</f>
        <v/>
      </c>
      <c r="D69" s="6">
        <f>IFERROR(INDEX(AP_EQ,MATCH($A69,AP_FECH,0)),"")</f>
        <v/>
      </c>
      <c r="E69" s="12">
        <f>IF($B69="","",VLOOKUP($D69,CAD,5,FALSE))</f>
        <v/>
      </c>
      <c r="F69" s="12">
        <f>IF($B69="","",VLOOKUP($D69,CAD,5,FALSE)-VLOOKUP($D69,CAD,10,FALSE))</f>
        <v/>
      </c>
      <c r="G69" s="15">
        <f>IF($B69="","",SUMIFS(AP_DUR,AP_DATA,$B69,AP_TURNO,$C69,AP_EQ,$D69,AP_CLASSE,"Planejada"))</f>
        <v/>
      </c>
      <c r="H69" s="15">
        <f>IF($B69="","",E69-F69-G69)</f>
        <v/>
      </c>
      <c r="I69" s="15">
        <f>IF($B69="","",SUMIFS(AP_DUR,AP_DATA,$B69,AP_TURNO,$C69,AP_EQ,$D69,AP_CLASSE,"Não planejada"))</f>
        <v/>
      </c>
      <c r="J69" s="15">
        <f>IF($B69="","",H69-I69)</f>
        <v/>
      </c>
      <c r="K69" s="6">
        <f>IF($B69="","",IF(I69&gt;H69,"ERRO",""))</f>
        <v/>
      </c>
      <c r="L69" s="18">
        <f>IF($B69="","",IFERROR(J69/H69,""))</f>
        <v/>
      </c>
      <c r="M69" s="15">
        <f>IF($B69="","",VLOOKUP($D69,CAD,3,FALSE))</f>
        <v/>
      </c>
      <c r="N69" s="19">
        <f>IF($B69="","",INDEX(AP_PROD,MATCH($A69,AP_FECH,0)))</f>
        <v/>
      </c>
      <c r="O69" s="19">
        <f>IF($B69="","",J69*M69)</f>
        <v/>
      </c>
      <c r="P69" s="18">
        <f>IF($B69="","",IFERROR(N69/O69,""))</f>
        <v/>
      </c>
      <c r="Q69" s="19">
        <f>IF($B69="","",INDEX(AP_REF,MATCH($A69,AP_FECH,0)))</f>
        <v/>
      </c>
      <c r="R69" s="19">
        <f>IF($B69="","",INDEX(AP_RET,MATCH($A69,AP_FECH,0)))</f>
        <v/>
      </c>
      <c r="S69" s="19">
        <f>IF($B69="","",N69-Q69-R69)</f>
        <v/>
      </c>
      <c r="T69" s="18">
        <f>IF($B69="","",IFERROR(S69/N69,""))</f>
        <v/>
      </c>
      <c r="U69" s="18">
        <f>IF($B69="","",IFERROR(L69*P69*T69,""))</f>
        <v/>
      </c>
      <c r="V69" s="18">
        <f>IF($B69="","",IFERROR(S69/M69/H69,""))</f>
        <v/>
      </c>
      <c r="W69" s="20">
        <f>IF($B69="","",IFERROR(ROUND(U69-V69,6),""))</f>
        <v/>
      </c>
      <c r="X69" s="6">
        <f>IF($B69="","",IF(OR(K69="ERRO",W69&lt;&gt;0),"NÃO PUBLICAR",IF(P69&gt;1,"VERIFICAR: desempenho &gt; 100%","OK: as duas vias fecham")))</f>
        <v/>
      </c>
      <c r="Y69" s="15">
        <f>IF($B69="","",I69)</f>
        <v/>
      </c>
      <c r="Z69" s="15">
        <f>IF($B69="","",J69-N69/M69)</f>
        <v/>
      </c>
      <c r="AA69" s="15">
        <f>IF($B69="","",(Q69+R69)/M69)</f>
        <v/>
      </c>
      <c r="AB69" s="15">
        <f>IF($B69="","",S69/M69)</f>
        <v/>
      </c>
      <c r="AC69" s="15">
        <f>IF($B69="","",Y69+Z69+AA69+AB69)</f>
        <v/>
      </c>
      <c r="AD69" s="15">
        <f>IF($B69="","",AE69/M69)</f>
        <v/>
      </c>
      <c r="AE69" s="19">
        <f>IF($B69="","",INDEX(AP_ARR,MATCH($A69,AP_FECH,0)))</f>
        <v/>
      </c>
    </row>
    <row r="70">
      <c r="A70" s="12" t="n">
        <v>65</v>
      </c>
      <c r="B70" s="17">
        <f>IFERROR(INDEX(AP_DATA,MATCH($A70,AP_FECH,0)),"")</f>
        <v/>
      </c>
      <c r="C70" s="6">
        <f>IFERROR(INDEX(AP_TURNO,MATCH($A70,AP_FECH,0)),"")</f>
        <v/>
      </c>
      <c r="D70" s="6">
        <f>IFERROR(INDEX(AP_EQ,MATCH($A70,AP_FECH,0)),"")</f>
        <v/>
      </c>
      <c r="E70" s="12">
        <f>IF($B70="","",VLOOKUP($D70,CAD,5,FALSE))</f>
        <v/>
      </c>
      <c r="F70" s="12">
        <f>IF($B70="","",VLOOKUP($D70,CAD,5,FALSE)-VLOOKUP($D70,CAD,10,FALSE))</f>
        <v/>
      </c>
      <c r="G70" s="15">
        <f>IF($B70="","",SUMIFS(AP_DUR,AP_DATA,$B70,AP_TURNO,$C70,AP_EQ,$D70,AP_CLASSE,"Planejada"))</f>
        <v/>
      </c>
      <c r="H70" s="15">
        <f>IF($B70="","",E70-F70-G70)</f>
        <v/>
      </c>
      <c r="I70" s="15">
        <f>IF($B70="","",SUMIFS(AP_DUR,AP_DATA,$B70,AP_TURNO,$C70,AP_EQ,$D70,AP_CLASSE,"Não planejada"))</f>
        <v/>
      </c>
      <c r="J70" s="15">
        <f>IF($B70="","",H70-I70)</f>
        <v/>
      </c>
      <c r="K70" s="6">
        <f>IF($B70="","",IF(I70&gt;H70,"ERRO",""))</f>
        <v/>
      </c>
      <c r="L70" s="18">
        <f>IF($B70="","",IFERROR(J70/H70,""))</f>
        <v/>
      </c>
      <c r="M70" s="15">
        <f>IF($B70="","",VLOOKUP($D70,CAD,3,FALSE))</f>
        <v/>
      </c>
      <c r="N70" s="19">
        <f>IF($B70="","",INDEX(AP_PROD,MATCH($A70,AP_FECH,0)))</f>
        <v/>
      </c>
      <c r="O70" s="19">
        <f>IF($B70="","",J70*M70)</f>
        <v/>
      </c>
      <c r="P70" s="18">
        <f>IF($B70="","",IFERROR(N70/O70,""))</f>
        <v/>
      </c>
      <c r="Q70" s="19">
        <f>IF($B70="","",INDEX(AP_REF,MATCH($A70,AP_FECH,0)))</f>
        <v/>
      </c>
      <c r="R70" s="19">
        <f>IF($B70="","",INDEX(AP_RET,MATCH($A70,AP_FECH,0)))</f>
        <v/>
      </c>
      <c r="S70" s="19">
        <f>IF($B70="","",N70-Q70-R70)</f>
        <v/>
      </c>
      <c r="T70" s="18">
        <f>IF($B70="","",IFERROR(S70/N70,""))</f>
        <v/>
      </c>
      <c r="U70" s="18">
        <f>IF($B70="","",IFERROR(L70*P70*T70,""))</f>
        <v/>
      </c>
      <c r="V70" s="18">
        <f>IF($B70="","",IFERROR(S70/M70/H70,""))</f>
        <v/>
      </c>
      <c r="W70" s="20">
        <f>IF($B70="","",IFERROR(ROUND(U70-V70,6),""))</f>
        <v/>
      </c>
      <c r="X70" s="6">
        <f>IF($B70="","",IF(OR(K70="ERRO",W70&lt;&gt;0),"NÃO PUBLICAR",IF(P70&gt;1,"VERIFICAR: desempenho &gt; 100%","OK: as duas vias fecham")))</f>
        <v/>
      </c>
      <c r="Y70" s="15">
        <f>IF($B70="","",I70)</f>
        <v/>
      </c>
      <c r="Z70" s="15">
        <f>IF($B70="","",J70-N70/M70)</f>
        <v/>
      </c>
      <c r="AA70" s="15">
        <f>IF($B70="","",(Q70+R70)/M70)</f>
        <v/>
      </c>
      <c r="AB70" s="15">
        <f>IF($B70="","",S70/M70)</f>
        <v/>
      </c>
      <c r="AC70" s="15">
        <f>IF($B70="","",Y70+Z70+AA70+AB70)</f>
        <v/>
      </c>
      <c r="AD70" s="15">
        <f>IF($B70="","",AE70/M70)</f>
        <v/>
      </c>
      <c r="AE70" s="19">
        <f>IF($B70="","",INDEX(AP_ARR,MATCH($A70,AP_FECH,0)))</f>
        <v/>
      </c>
    </row>
    <row r="71">
      <c r="A71" s="12" t="n">
        <v>66</v>
      </c>
      <c r="B71" s="17">
        <f>IFERROR(INDEX(AP_DATA,MATCH($A71,AP_FECH,0)),"")</f>
        <v/>
      </c>
      <c r="C71" s="6">
        <f>IFERROR(INDEX(AP_TURNO,MATCH($A71,AP_FECH,0)),"")</f>
        <v/>
      </c>
      <c r="D71" s="6">
        <f>IFERROR(INDEX(AP_EQ,MATCH($A71,AP_FECH,0)),"")</f>
        <v/>
      </c>
      <c r="E71" s="12">
        <f>IF($B71="","",VLOOKUP($D71,CAD,5,FALSE))</f>
        <v/>
      </c>
      <c r="F71" s="12">
        <f>IF($B71="","",VLOOKUP($D71,CAD,5,FALSE)-VLOOKUP($D71,CAD,10,FALSE))</f>
        <v/>
      </c>
      <c r="G71" s="15">
        <f>IF($B71="","",SUMIFS(AP_DUR,AP_DATA,$B71,AP_TURNO,$C71,AP_EQ,$D71,AP_CLASSE,"Planejada"))</f>
        <v/>
      </c>
      <c r="H71" s="15">
        <f>IF($B71="","",E71-F71-G71)</f>
        <v/>
      </c>
      <c r="I71" s="15">
        <f>IF($B71="","",SUMIFS(AP_DUR,AP_DATA,$B71,AP_TURNO,$C71,AP_EQ,$D71,AP_CLASSE,"Não planejada"))</f>
        <v/>
      </c>
      <c r="J71" s="15">
        <f>IF($B71="","",H71-I71)</f>
        <v/>
      </c>
      <c r="K71" s="6">
        <f>IF($B71="","",IF(I71&gt;H71,"ERRO",""))</f>
        <v/>
      </c>
      <c r="L71" s="18">
        <f>IF($B71="","",IFERROR(J71/H71,""))</f>
        <v/>
      </c>
      <c r="M71" s="15">
        <f>IF($B71="","",VLOOKUP($D71,CAD,3,FALSE))</f>
        <v/>
      </c>
      <c r="N71" s="19">
        <f>IF($B71="","",INDEX(AP_PROD,MATCH($A71,AP_FECH,0)))</f>
        <v/>
      </c>
      <c r="O71" s="19">
        <f>IF($B71="","",J71*M71)</f>
        <v/>
      </c>
      <c r="P71" s="18">
        <f>IF($B71="","",IFERROR(N71/O71,""))</f>
        <v/>
      </c>
      <c r="Q71" s="19">
        <f>IF($B71="","",INDEX(AP_REF,MATCH($A71,AP_FECH,0)))</f>
        <v/>
      </c>
      <c r="R71" s="19">
        <f>IF($B71="","",INDEX(AP_RET,MATCH($A71,AP_FECH,0)))</f>
        <v/>
      </c>
      <c r="S71" s="19">
        <f>IF($B71="","",N71-Q71-R71)</f>
        <v/>
      </c>
      <c r="T71" s="18">
        <f>IF($B71="","",IFERROR(S71/N71,""))</f>
        <v/>
      </c>
      <c r="U71" s="18">
        <f>IF($B71="","",IFERROR(L71*P71*T71,""))</f>
        <v/>
      </c>
      <c r="V71" s="18">
        <f>IF($B71="","",IFERROR(S71/M71/H71,""))</f>
        <v/>
      </c>
      <c r="W71" s="20">
        <f>IF($B71="","",IFERROR(ROUND(U71-V71,6),""))</f>
        <v/>
      </c>
      <c r="X71" s="6">
        <f>IF($B71="","",IF(OR(K71="ERRO",W71&lt;&gt;0),"NÃO PUBLICAR",IF(P71&gt;1,"VERIFICAR: desempenho &gt; 100%","OK: as duas vias fecham")))</f>
        <v/>
      </c>
      <c r="Y71" s="15">
        <f>IF($B71="","",I71)</f>
        <v/>
      </c>
      <c r="Z71" s="15">
        <f>IF($B71="","",J71-N71/M71)</f>
        <v/>
      </c>
      <c r="AA71" s="15">
        <f>IF($B71="","",(Q71+R71)/M71)</f>
        <v/>
      </c>
      <c r="AB71" s="15">
        <f>IF($B71="","",S71/M71)</f>
        <v/>
      </c>
      <c r="AC71" s="15">
        <f>IF($B71="","",Y71+Z71+AA71+AB71)</f>
        <v/>
      </c>
      <c r="AD71" s="15">
        <f>IF($B71="","",AE71/M71)</f>
        <v/>
      </c>
      <c r="AE71" s="19">
        <f>IF($B71="","",INDEX(AP_ARR,MATCH($A71,AP_FECH,0)))</f>
        <v/>
      </c>
    </row>
    <row r="72">
      <c r="A72" s="12" t="n">
        <v>67</v>
      </c>
      <c r="B72" s="17">
        <f>IFERROR(INDEX(AP_DATA,MATCH($A72,AP_FECH,0)),"")</f>
        <v/>
      </c>
      <c r="C72" s="6">
        <f>IFERROR(INDEX(AP_TURNO,MATCH($A72,AP_FECH,0)),"")</f>
        <v/>
      </c>
      <c r="D72" s="6">
        <f>IFERROR(INDEX(AP_EQ,MATCH($A72,AP_FECH,0)),"")</f>
        <v/>
      </c>
      <c r="E72" s="12">
        <f>IF($B72="","",VLOOKUP($D72,CAD,5,FALSE))</f>
        <v/>
      </c>
      <c r="F72" s="12">
        <f>IF($B72="","",VLOOKUP($D72,CAD,5,FALSE)-VLOOKUP($D72,CAD,10,FALSE))</f>
        <v/>
      </c>
      <c r="G72" s="15">
        <f>IF($B72="","",SUMIFS(AP_DUR,AP_DATA,$B72,AP_TURNO,$C72,AP_EQ,$D72,AP_CLASSE,"Planejada"))</f>
        <v/>
      </c>
      <c r="H72" s="15">
        <f>IF($B72="","",E72-F72-G72)</f>
        <v/>
      </c>
      <c r="I72" s="15">
        <f>IF($B72="","",SUMIFS(AP_DUR,AP_DATA,$B72,AP_TURNO,$C72,AP_EQ,$D72,AP_CLASSE,"Não planejada"))</f>
        <v/>
      </c>
      <c r="J72" s="15">
        <f>IF($B72="","",H72-I72)</f>
        <v/>
      </c>
      <c r="K72" s="6">
        <f>IF($B72="","",IF(I72&gt;H72,"ERRO",""))</f>
        <v/>
      </c>
      <c r="L72" s="18">
        <f>IF($B72="","",IFERROR(J72/H72,""))</f>
        <v/>
      </c>
      <c r="M72" s="15">
        <f>IF($B72="","",VLOOKUP($D72,CAD,3,FALSE))</f>
        <v/>
      </c>
      <c r="N72" s="19">
        <f>IF($B72="","",INDEX(AP_PROD,MATCH($A72,AP_FECH,0)))</f>
        <v/>
      </c>
      <c r="O72" s="19">
        <f>IF($B72="","",J72*M72)</f>
        <v/>
      </c>
      <c r="P72" s="18">
        <f>IF($B72="","",IFERROR(N72/O72,""))</f>
        <v/>
      </c>
      <c r="Q72" s="19">
        <f>IF($B72="","",INDEX(AP_REF,MATCH($A72,AP_FECH,0)))</f>
        <v/>
      </c>
      <c r="R72" s="19">
        <f>IF($B72="","",INDEX(AP_RET,MATCH($A72,AP_FECH,0)))</f>
        <v/>
      </c>
      <c r="S72" s="19">
        <f>IF($B72="","",N72-Q72-R72)</f>
        <v/>
      </c>
      <c r="T72" s="18">
        <f>IF($B72="","",IFERROR(S72/N72,""))</f>
        <v/>
      </c>
      <c r="U72" s="18">
        <f>IF($B72="","",IFERROR(L72*P72*T72,""))</f>
        <v/>
      </c>
      <c r="V72" s="18">
        <f>IF($B72="","",IFERROR(S72/M72/H72,""))</f>
        <v/>
      </c>
      <c r="W72" s="20">
        <f>IF($B72="","",IFERROR(ROUND(U72-V72,6),""))</f>
        <v/>
      </c>
      <c r="X72" s="6">
        <f>IF($B72="","",IF(OR(K72="ERRO",W72&lt;&gt;0),"NÃO PUBLICAR",IF(P72&gt;1,"VERIFICAR: desempenho &gt; 100%","OK: as duas vias fecham")))</f>
        <v/>
      </c>
      <c r="Y72" s="15">
        <f>IF($B72="","",I72)</f>
        <v/>
      </c>
      <c r="Z72" s="15">
        <f>IF($B72="","",J72-N72/M72)</f>
        <v/>
      </c>
      <c r="AA72" s="15">
        <f>IF($B72="","",(Q72+R72)/M72)</f>
        <v/>
      </c>
      <c r="AB72" s="15">
        <f>IF($B72="","",S72/M72)</f>
        <v/>
      </c>
      <c r="AC72" s="15">
        <f>IF($B72="","",Y72+Z72+AA72+AB72)</f>
        <v/>
      </c>
      <c r="AD72" s="15">
        <f>IF($B72="","",AE72/M72)</f>
        <v/>
      </c>
      <c r="AE72" s="19">
        <f>IF($B72="","",INDEX(AP_ARR,MATCH($A72,AP_FECH,0)))</f>
        <v/>
      </c>
    </row>
    <row r="73">
      <c r="A73" s="12" t="n">
        <v>68</v>
      </c>
      <c r="B73" s="17">
        <f>IFERROR(INDEX(AP_DATA,MATCH($A73,AP_FECH,0)),"")</f>
        <v/>
      </c>
      <c r="C73" s="6">
        <f>IFERROR(INDEX(AP_TURNO,MATCH($A73,AP_FECH,0)),"")</f>
        <v/>
      </c>
      <c r="D73" s="6">
        <f>IFERROR(INDEX(AP_EQ,MATCH($A73,AP_FECH,0)),"")</f>
        <v/>
      </c>
      <c r="E73" s="12">
        <f>IF($B73="","",VLOOKUP($D73,CAD,5,FALSE))</f>
        <v/>
      </c>
      <c r="F73" s="12">
        <f>IF($B73="","",VLOOKUP($D73,CAD,5,FALSE)-VLOOKUP($D73,CAD,10,FALSE))</f>
        <v/>
      </c>
      <c r="G73" s="15">
        <f>IF($B73="","",SUMIFS(AP_DUR,AP_DATA,$B73,AP_TURNO,$C73,AP_EQ,$D73,AP_CLASSE,"Planejada"))</f>
        <v/>
      </c>
      <c r="H73" s="15">
        <f>IF($B73="","",E73-F73-G73)</f>
        <v/>
      </c>
      <c r="I73" s="15">
        <f>IF($B73="","",SUMIFS(AP_DUR,AP_DATA,$B73,AP_TURNO,$C73,AP_EQ,$D73,AP_CLASSE,"Não planejada"))</f>
        <v/>
      </c>
      <c r="J73" s="15">
        <f>IF($B73="","",H73-I73)</f>
        <v/>
      </c>
      <c r="K73" s="6">
        <f>IF($B73="","",IF(I73&gt;H73,"ERRO",""))</f>
        <v/>
      </c>
      <c r="L73" s="18">
        <f>IF($B73="","",IFERROR(J73/H73,""))</f>
        <v/>
      </c>
      <c r="M73" s="15">
        <f>IF($B73="","",VLOOKUP($D73,CAD,3,FALSE))</f>
        <v/>
      </c>
      <c r="N73" s="19">
        <f>IF($B73="","",INDEX(AP_PROD,MATCH($A73,AP_FECH,0)))</f>
        <v/>
      </c>
      <c r="O73" s="19">
        <f>IF($B73="","",J73*M73)</f>
        <v/>
      </c>
      <c r="P73" s="18">
        <f>IF($B73="","",IFERROR(N73/O73,""))</f>
        <v/>
      </c>
      <c r="Q73" s="19">
        <f>IF($B73="","",INDEX(AP_REF,MATCH($A73,AP_FECH,0)))</f>
        <v/>
      </c>
      <c r="R73" s="19">
        <f>IF($B73="","",INDEX(AP_RET,MATCH($A73,AP_FECH,0)))</f>
        <v/>
      </c>
      <c r="S73" s="19">
        <f>IF($B73="","",N73-Q73-R73)</f>
        <v/>
      </c>
      <c r="T73" s="18">
        <f>IF($B73="","",IFERROR(S73/N73,""))</f>
        <v/>
      </c>
      <c r="U73" s="18">
        <f>IF($B73="","",IFERROR(L73*P73*T73,""))</f>
        <v/>
      </c>
      <c r="V73" s="18">
        <f>IF($B73="","",IFERROR(S73/M73/H73,""))</f>
        <v/>
      </c>
      <c r="W73" s="20">
        <f>IF($B73="","",IFERROR(ROUND(U73-V73,6),""))</f>
        <v/>
      </c>
      <c r="X73" s="6">
        <f>IF($B73="","",IF(OR(K73="ERRO",W73&lt;&gt;0),"NÃO PUBLICAR",IF(P73&gt;1,"VERIFICAR: desempenho &gt; 100%","OK: as duas vias fecham")))</f>
        <v/>
      </c>
      <c r="Y73" s="15">
        <f>IF($B73="","",I73)</f>
        <v/>
      </c>
      <c r="Z73" s="15">
        <f>IF($B73="","",J73-N73/M73)</f>
        <v/>
      </c>
      <c r="AA73" s="15">
        <f>IF($B73="","",(Q73+R73)/M73)</f>
        <v/>
      </c>
      <c r="AB73" s="15">
        <f>IF($B73="","",S73/M73)</f>
        <v/>
      </c>
      <c r="AC73" s="15">
        <f>IF($B73="","",Y73+Z73+AA73+AB73)</f>
        <v/>
      </c>
      <c r="AD73" s="15">
        <f>IF($B73="","",AE73/M73)</f>
        <v/>
      </c>
      <c r="AE73" s="19">
        <f>IF($B73="","",INDEX(AP_ARR,MATCH($A73,AP_FECH,0)))</f>
        <v/>
      </c>
    </row>
    <row r="74">
      <c r="A74" s="12" t="n">
        <v>69</v>
      </c>
      <c r="B74" s="17">
        <f>IFERROR(INDEX(AP_DATA,MATCH($A74,AP_FECH,0)),"")</f>
        <v/>
      </c>
      <c r="C74" s="6">
        <f>IFERROR(INDEX(AP_TURNO,MATCH($A74,AP_FECH,0)),"")</f>
        <v/>
      </c>
      <c r="D74" s="6">
        <f>IFERROR(INDEX(AP_EQ,MATCH($A74,AP_FECH,0)),"")</f>
        <v/>
      </c>
      <c r="E74" s="12">
        <f>IF($B74="","",VLOOKUP($D74,CAD,5,FALSE))</f>
        <v/>
      </c>
      <c r="F74" s="12">
        <f>IF($B74="","",VLOOKUP($D74,CAD,5,FALSE)-VLOOKUP($D74,CAD,10,FALSE))</f>
        <v/>
      </c>
      <c r="G74" s="15">
        <f>IF($B74="","",SUMIFS(AP_DUR,AP_DATA,$B74,AP_TURNO,$C74,AP_EQ,$D74,AP_CLASSE,"Planejada"))</f>
        <v/>
      </c>
      <c r="H74" s="15">
        <f>IF($B74="","",E74-F74-G74)</f>
        <v/>
      </c>
      <c r="I74" s="15">
        <f>IF($B74="","",SUMIFS(AP_DUR,AP_DATA,$B74,AP_TURNO,$C74,AP_EQ,$D74,AP_CLASSE,"Não planejada"))</f>
        <v/>
      </c>
      <c r="J74" s="15">
        <f>IF($B74="","",H74-I74)</f>
        <v/>
      </c>
      <c r="K74" s="6">
        <f>IF($B74="","",IF(I74&gt;H74,"ERRO",""))</f>
        <v/>
      </c>
      <c r="L74" s="18">
        <f>IF($B74="","",IFERROR(J74/H74,""))</f>
        <v/>
      </c>
      <c r="M74" s="15">
        <f>IF($B74="","",VLOOKUP($D74,CAD,3,FALSE))</f>
        <v/>
      </c>
      <c r="N74" s="19">
        <f>IF($B74="","",INDEX(AP_PROD,MATCH($A74,AP_FECH,0)))</f>
        <v/>
      </c>
      <c r="O74" s="19">
        <f>IF($B74="","",J74*M74)</f>
        <v/>
      </c>
      <c r="P74" s="18">
        <f>IF($B74="","",IFERROR(N74/O74,""))</f>
        <v/>
      </c>
      <c r="Q74" s="19">
        <f>IF($B74="","",INDEX(AP_REF,MATCH($A74,AP_FECH,0)))</f>
        <v/>
      </c>
      <c r="R74" s="19">
        <f>IF($B74="","",INDEX(AP_RET,MATCH($A74,AP_FECH,0)))</f>
        <v/>
      </c>
      <c r="S74" s="19">
        <f>IF($B74="","",N74-Q74-R74)</f>
        <v/>
      </c>
      <c r="T74" s="18">
        <f>IF($B74="","",IFERROR(S74/N74,""))</f>
        <v/>
      </c>
      <c r="U74" s="18">
        <f>IF($B74="","",IFERROR(L74*P74*T74,""))</f>
        <v/>
      </c>
      <c r="V74" s="18">
        <f>IF($B74="","",IFERROR(S74/M74/H74,""))</f>
        <v/>
      </c>
      <c r="W74" s="20">
        <f>IF($B74="","",IFERROR(ROUND(U74-V74,6),""))</f>
        <v/>
      </c>
      <c r="X74" s="6">
        <f>IF($B74="","",IF(OR(K74="ERRO",W74&lt;&gt;0),"NÃO PUBLICAR",IF(P74&gt;1,"VERIFICAR: desempenho &gt; 100%","OK: as duas vias fecham")))</f>
        <v/>
      </c>
      <c r="Y74" s="15">
        <f>IF($B74="","",I74)</f>
        <v/>
      </c>
      <c r="Z74" s="15">
        <f>IF($B74="","",J74-N74/M74)</f>
        <v/>
      </c>
      <c r="AA74" s="15">
        <f>IF($B74="","",(Q74+R74)/M74)</f>
        <v/>
      </c>
      <c r="AB74" s="15">
        <f>IF($B74="","",S74/M74)</f>
        <v/>
      </c>
      <c r="AC74" s="15">
        <f>IF($B74="","",Y74+Z74+AA74+AB74)</f>
        <v/>
      </c>
      <c r="AD74" s="15">
        <f>IF($B74="","",AE74/M74)</f>
        <v/>
      </c>
      <c r="AE74" s="19">
        <f>IF($B74="","",INDEX(AP_ARR,MATCH($A74,AP_FECH,0)))</f>
        <v/>
      </c>
    </row>
    <row r="75">
      <c r="A75" s="12" t="n">
        <v>70</v>
      </c>
      <c r="B75" s="17">
        <f>IFERROR(INDEX(AP_DATA,MATCH($A75,AP_FECH,0)),"")</f>
        <v/>
      </c>
      <c r="C75" s="6">
        <f>IFERROR(INDEX(AP_TURNO,MATCH($A75,AP_FECH,0)),"")</f>
        <v/>
      </c>
      <c r="D75" s="6">
        <f>IFERROR(INDEX(AP_EQ,MATCH($A75,AP_FECH,0)),"")</f>
        <v/>
      </c>
      <c r="E75" s="12">
        <f>IF($B75="","",VLOOKUP($D75,CAD,5,FALSE))</f>
        <v/>
      </c>
      <c r="F75" s="12">
        <f>IF($B75="","",VLOOKUP($D75,CAD,5,FALSE)-VLOOKUP($D75,CAD,10,FALSE))</f>
        <v/>
      </c>
      <c r="G75" s="15">
        <f>IF($B75="","",SUMIFS(AP_DUR,AP_DATA,$B75,AP_TURNO,$C75,AP_EQ,$D75,AP_CLASSE,"Planejada"))</f>
        <v/>
      </c>
      <c r="H75" s="15">
        <f>IF($B75="","",E75-F75-G75)</f>
        <v/>
      </c>
      <c r="I75" s="15">
        <f>IF($B75="","",SUMIFS(AP_DUR,AP_DATA,$B75,AP_TURNO,$C75,AP_EQ,$D75,AP_CLASSE,"Não planejada"))</f>
        <v/>
      </c>
      <c r="J75" s="15">
        <f>IF($B75="","",H75-I75)</f>
        <v/>
      </c>
      <c r="K75" s="6">
        <f>IF($B75="","",IF(I75&gt;H75,"ERRO",""))</f>
        <v/>
      </c>
      <c r="L75" s="18">
        <f>IF($B75="","",IFERROR(J75/H75,""))</f>
        <v/>
      </c>
      <c r="M75" s="15">
        <f>IF($B75="","",VLOOKUP($D75,CAD,3,FALSE))</f>
        <v/>
      </c>
      <c r="N75" s="19">
        <f>IF($B75="","",INDEX(AP_PROD,MATCH($A75,AP_FECH,0)))</f>
        <v/>
      </c>
      <c r="O75" s="19">
        <f>IF($B75="","",J75*M75)</f>
        <v/>
      </c>
      <c r="P75" s="18">
        <f>IF($B75="","",IFERROR(N75/O75,""))</f>
        <v/>
      </c>
      <c r="Q75" s="19">
        <f>IF($B75="","",INDEX(AP_REF,MATCH($A75,AP_FECH,0)))</f>
        <v/>
      </c>
      <c r="R75" s="19">
        <f>IF($B75="","",INDEX(AP_RET,MATCH($A75,AP_FECH,0)))</f>
        <v/>
      </c>
      <c r="S75" s="19">
        <f>IF($B75="","",N75-Q75-R75)</f>
        <v/>
      </c>
      <c r="T75" s="18">
        <f>IF($B75="","",IFERROR(S75/N75,""))</f>
        <v/>
      </c>
      <c r="U75" s="18">
        <f>IF($B75="","",IFERROR(L75*P75*T75,""))</f>
        <v/>
      </c>
      <c r="V75" s="18">
        <f>IF($B75="","",IFERROR(S75/M75/H75,""))</f>
        <v/>
      </c>
      <c r="W75" s="20">
        <f>IF($B75="","",IFERROR(ROUND(U75-V75,6),""))</f>
        <v/>
      </c>
      <c r="X75" s="6">
        <f>IF($B75="","",IF(OR(K75="ERRO",W75&lt;&gt;0),"NÃO PUBLICAR",IF(P75&gt;1,"VERIFICAR: desempenho &gt; 100%","OK: as duas vias fecham")))</f>
        <v/>
      </c>
      <c r="Y75" s="15">
        <f>IF($B75="","",I75)</f>
        <v/>
      </c>
      <c r="Z75" s="15">
        <f>IF($B75="","",J75-N75/M75)</f>
        <v/>
      </c>
      <c r="AA75" s="15">
        <f>IF($B75="","",(Q75+R75)/M75)</f>
        <v/>
      </c>
      <c r="AB75" s="15">
        <f>IF($B75="","",S75/M75)</f>
        <v/>
      </c>
      <c r="AC75" s="15">
        <f>IF($B75="","",Y75+Z75+AA75+AB75)</f>
        <v/>
      </c>
      <c r="AD75" s="15">
        <f>IF($B75="","",AE75/M75)</f>
        <v/>
      </c>
      <c r="AE75" s="19">
        <f>IF($B75="","",INDEX(AP_ARR,MATCH($A75,AP_FECH,0)))</f>
        <v/>
      </c>
    </row>
    <row r="76">
      <c r="A76" s="12" t="n">
        <v>71</v>
      </c>
      <c r="B76" s="17">
        <f>IFERROR(INDEX(AP_DATA,MATCH($A76,AP_FECH,0)),"")</f>
        <v/>
      </c>
      <c r="C76" s="6">
        <f>IFERROR(INDEX(AP_TURNO,MATCH($A76,AP_FECH,0)),"")</f>
        <v/>
      </c>
      <c r="D76" s="6">
        <f>IFERROR(INDEX(AP_EQ,MATCH($A76,AP_FECH,0)),"")</f>
        <v/>
      </c>
      <c r="E76" s="12">
        <f>IF($B76="","",VLOOKUP($D76,CAD,5,FALSE))</f>
        <v/>
      </c>
      <c r="F76" s="12">
        <f>IF($B76="","",VLOOKUP($D76,CAD,5,FALSE)-VLOOKUP($D76,CAD,10,FALSE))</f>
        <v/>
      </c>
      <c r="G76" s="15">
        <f>IF($B76="","",SUMIFS(AP_DUR,AP_DATA,$B76,AP_TURNO,$C76,AP_EQ,$D76,AP_CLASSE,"Planejada"))</f>
        <v/>
      </c>
      <c r="H76" s="15">
        <f>IF($B76="","",E76-F76-G76)</f>
        <v/>
      </c>
      <c r="I76" s="15">
        <f>IF($B76="","",SUMIFS(AP_DUR,AP_DATA,$B76,AP_TURNO,$C76,AP_EQ,$D76,AP_CLASSE,"Não planejada"))</f>
        <v/>
      </c>
      <c r="J76" s="15">
        <f>IF($B76="","",H76-I76)</f>
        <v/>
      </c>
      <c r="K76" s="6">
        <f>IF($B76="","",IF(I76&gt;H76,"ERRO",""))</f>
        <v/>
      </c>
      <c r="L76" s="18">
        <f>IF($B76="","",IFERROR(J76/H76,""))</f>
        <v/>
      </c>
      <c r="M76" s="15">
        <f>IF($B76="","",VLOOKUP($D76,CAD,3,FALSE))</f>
        <v/>
      </c>
      <c r="N76" s="19">
        <f>IF($B76="","",INDEX(AP_PROD,MATCH($A76,AP_FECH,0)))</f>
        <v/>
      </c>
      <c r="O76" s="19">
        <f>IF($B76="","",J76*M76)</f>
        <v/>
      </c>
      <c r="P76" s="18">
        <f>IF($B76="","",IFERROR(N76/O76,""))</f>
        <v/>
      </c>
      <c r="Q76" s="19">
        <f>IF($B76="","",INDEX(AP_REF,MATCH($A76,AP_FECH,0)))</f>
        <v/>
      </c>
      <c r="R76" s="19">
        <f>IF($B76="","",INDEX(AP_RET,MATCH($A76,AP_FECH,0)))</f>
        <v/>
      </c>
      <c r="S76" s="19">
        <f>IF($B76="","",N76-Q76-R76)</f>
        <v/>
      </c>
      <c r="T76" s="18">
        <f>IF($B76="","",IFERROR(S76/N76,""))</f>
        <v/>
      </c>
      <c r="U76" s="18">
        <f>IF($B76="","",IFERROR(L76*P76*T76,""))</f>
        <v/>
      </c>
      <c r="V76" s="18">
        <f>IF($B76="","",IFERROR(S76/M76/H76,""))</f>
        <v/>
      </c>
      <c r="W76" s="20">
        <f>IF($B76="","",IFERROR(ROUND(U76-V76,6),""))</f>
        <v/>
      </c>
      <c r="X76" s="6">
        <f>IF($B76="","",IF(OR(K76="ERRO",W76&lt;&gt;0),"NÃO PUBLICAR",IF(P76&gt;1,"VERIFICAR: desempenho &gt; 100%","OK: as duas vias fecham")))</f>
        <v/>
      </c>
      <c r="Y76" s="15">
        <f>IF($B76="","",I76)</f>
        <v/>
      </c>
      <c r="Z76" s="15">
        <f>IF($B76="","",J76-N76/M76)</f>
        <v/>
      </c>
      <c r="AA76" s="15">
        <f>IF($B76="","",(Q76+R76)/M76)</f>
        <v/>
      </c>
      <c r="AB76" s="15">
        <f>IF($B76="","",S76/M76)</f>
        <v/>
      </c>
      <c r="AC76" s="15">
        <f>IF($B76="","",Y76+Z76+AA76+AB76)</f>
        <v/>
      </c>
      <c r="AD76" s="15">
        <f>IF($B76="","",AE76/M76)</f>
        <v/>
      </c>
      <c r="AE76" s="19">
        <f>IF($B76="","",INDEX(AP_ARR,MATCH($A76,AP_FECH,0)))</f>
        <v/>
      </c>
    </row>
    <row r="77">
      <c r="A77" s="12" t="n">
        <v>72</v>
      </c>
      <c r="B77" s="17">
        <f>IFERROR(INDEX(AP_DATA,MATCH($A77,AP_FECH,0)),"")</f>
        <v/>
      </c>
      <c r="C77" s="6">
        <f>IFERROR(INDEX(AP_TURNO,MATCH($A77,AP_FECH,0)),"")</f>
        <v/>
      </c>
      <c r="D77" s="6">
        <f>IFERROR(INDEX(AP_EQ,MATCH($A77,AP_FECH,0)),"")</f>
        <v/>
      </c>
      <c r="E77" s="12">
        <f>IF($B77="","",VLOOKUP($D77,CAD,5,FALSE))</f>
        <v/>
      </c>
      <c r="F77" s="12">
        <f>IF($B77="","",VLOOKUP($D77,CAD,5,FALSE)-VLOOKUP($D77,CAD,10,FALSE))</f>
        <v/>
      </c>
      <c r="G77" s="15">
        <f>IF($B77="","",SUMIFS(AP_DUR,AP_DATA,$B77,AP_TURNO,$C77,AP_EQ,$D77,AP_CLASSE,"Planejada"))</f>
        <v/>
      </c>
      <c r="H77" s="15">
        <f>IF($B77="","",E77-F77-G77)</f>
        <v/>
      </c>
      <c r="I77" s="15">
        <f>IF($B77="","",SUMIFS(AP_DUR,AP_DATA,$B77,AP_TURNO,$C77,AP_EQ,$D77,AP_CLASSE,"Não planejada"))</f>
        <v/>
      </c>
      <c r="J77" s="15">
        <f>IF($B77="","",H77-I77)</f>
        <v/>
      </c>
      <c r="K77" s="6">
        <f>IF($B77="","",IF(I77&gt;H77,"ERRO",""))</f>
        <v/>
      </c>
      <c r="L77" s="18">
        <f>IF($B77="","",IFERROR(J77/H77,""))</f>
        <v/>
      </c>
      <c r="M77" s="15">
        <f>IF($B77="","",VLOOKUP($D77,CAD,3,FALSE))</f>
        <v/>
      </c>
      <c r="N77" s="19">
        <f>IF($B77="","",INDEX(AP_PROD,MATCH($A77,AP_FECH,0)))</f>
        <v/>
      </c>
      <c r="O77" s="19">
        <f>IF($B77="","",J77*M77)</f>
        <v/>
      </c>
      <c r="P77" s="18">
        <f>IF($B77="","",IFERROR(N77/O77,""))</f>
        <v/>
      </c>
      <c r="Q77" s="19">
        <f>IF($B77="","",INDEX(AP_REF,MATCH($A77,AP_FECH,0)))</f>
        <v/>
      </c>
      <c r="R77" s="19">
        <f>IF($B77="","",INDEX(AP_RET,MATCH($A77,AP_FECH,0)))</f>
        <v/>
      </c>
      <c r="S77" s="19">
        <f>IF($B77="","",N77-Q77-R77)</f>
        <v/>
      </c>
      <c r="T77" s="18">
        <f>IF($B77="","",IFERROR(S77/N77,""))</f>
        <v/>
      </c>
      <c r="U77" s="18">
        <f>IF($B77="","",IFERROR(L77*P77*T77,""))</f>
        <v/>
      </c>
      <c r="V77" s="18">
        <f>IF($B77="","",IFERROR(S77/M77/H77,""))</f>
        <v/>
      </c>
      <c r="W77" s="20">
        <f>IF($B77="","",IFERROR(ROUND(U77-V77,6),""))</f>
        <v/>
      </c>
      <c r="X77" s="6">
        <f>IF($B77="","",IF(OR(K77="ERRO",W77&lt;&gt;0),"NÃO PUBLICAR",IF(P77&gt;1,"VERIFICAR: desempenho &gt; 100%","OK: as duas vias fecham")))</f>
        <v/>
      </c>
      <c r="Y77" s="15">
        <f>IF($B77="","",I77)</f>
        <v/>
      </c>
      <c r="Z77" s="15">
        <f>IF($B77="","",J77-N77/M77)</f>
        <v/>
      </c>
      <c r="AA77" s="15">
        <f>IF($B77="","",(Q77+R77)/M77)</f>
        <v/>
      </c>
      <c r="AB77" s="15">
        <f>IF($B77="","",S77/M77)</f>
        <v/>
      </c>
      <c r="AC77" s="15">
        <f>IF($B77="","",Y77+Z77+AA77+AB77)</f>
        <v/>
      </c>
      <c r="AD77" s="15">
        <f>IF($B77="","",AE77/M77)</f>
        <v/>
      </c>
      <c r="AE77" s="19">
        <f>IF($B77="","",INDEX(AP_ARR,MATCH($A77,AP_FECH,0)))</f>
        <v/>
      </c>
    </row>
    <row r="78">
      <c r="A78" s="12" t="n">
        <v>73</v>
      </c>
      <c r="B78" s="17">
        <f>IFERROR(INDEX(AP_DATA,MATCH($A78,AP_FECH,0)),"")</f>
        <v/>
      </c>
      <c r="C78" s="6">
        <f>IFERROR(INDEX(AP_TURNO,MATCH($A78,AP_FECH,0)),"")</f>
        <v/>
      </c>
      <c r="D78" s="6">
        <f>IFERROR(INDEX(AP_EQ,MATCH($A78,AP_FECH,0)),"")</f>
        <v/>
      </c>
      <c r="E78" s="12">
        <f>IF($B78="","",VLOOKUP($D78,CAD,5,FALSE))</f>
        <v/>
      </c>
      <c r="F78" s="12">
        <f>IF($B78="","",VLOOKUP($D78,CAD,5,FALSE)-VLOOKUP($D78,CAD,10,FALSE))</f>
        <v/>
      </c>
      <c r="G78" s="15">
        <f>IF($B78="","",SUMIFS(AP_DUR,AP_DATA,$B78,AP_TURNO,$C78,AP_EQ,$D78,AP_CLASSE,"Planejada"))</f>
        <v/>
      </c>
      <c r="H78" s="15">
        <f>IF($B78="","",E78-F78-G78)</f>
        <v/>
      </c>
      <c r="I78" s="15">
        <f>IF($B78="","",SUMIFS(AP_DUR,AP_DATA,$B78,AP_TURNO,$C78,AP_EQ,$D78,AP_CLASSE,"Não planejada"))</f>
        <v/>
      </c>
      <c r="J78" s="15">
        <f>IF($B78="","",H78-I78)</f>
        <v/>
      </c>
      <c r="K78" s="6">
        <f>IF($B78="","",IF(I78&gt;H78,"ERRO",""))</f>
        <v/>
      </c>
      <c r="L78" s="18">
        <f>IF($B78="","",IFERROR(J78/H78,""))</f>
        <v/>
      </c>
      <c r="M78" s="15">
        <f>IF($B78="","",VLOOKUP($D78,CAD,3,FALSE))</f>
        <v/>
      </c>
      <c r="N78" s="19">
        <f>IF($B78="","",INDEX(AP_PROD,MATCH($A78,AP_FECH,0)))</f>
        <v/>
      </c>
      <c r="O78" s="19">
        <f>IF($B78="","",J78*M78)</f>
        <v/>
      </c>
      <c r="P78" s="18">
        <f>IF($B78="","",IFERROR(N78/O78,""))</f>
        <v/>
      </c>
      <c r="Q78" s="19">
        <f>IF($B78="","",INDEX(AP_REF,MATCH($A78,AP_FECH,0)))</f>
        <v/>
      </c>
      <c r="R78" s="19">
        <f>IF($B78="","",INDEX(AP_RET,MATCH($A78,AP_FECH,0)))</f>
        <v/>
      </c>
      <c r="S78" s="19">
        <f>IF($B78="","",N78-Q78-R78)</f>
        <v/>
      </c>
      <c r="T78" s="18">
        <f>IF($B78="","",IFERROR(S78/N78,""))</f>
        <v/>
      </c>
      <c r="U78" s="18">
        <f>IF($B78="","",IFERROR(L78*P78*T78,""))</f>
        <v/>
      </c>
      <c r="V78" s="18">
        <f>IF($B78="","",IFERROR(S78/M78/H78,""))</f>
        <v/>
      </c>
      <c r="W78" s="20">
        <f>IF($B78="","",IFERROR(ROUND(U78-V78,6),""))</f>
        <v/>
      </c>
      <c r="X78" s="6">
        <f>IF($B78="","",IF(OR(K78="ERRO",W78&lt;&gt;0),"NÃO PUBLICAR",IF(P78&gt;1,"VERIFICAR: desempenho &gt; 100%","OK: as duas vias fecham")))</f>
        <v/>
      </c>
      <c r="Y78" s="15">
        <f>IF($B78="","",I78)</f>
        <v/>
      </c>
      <c r="Z78" s="15">
        <f>IF($B78="","",J78-N78/M78)</f>
        <v/>
      </c>
      <c r="AA78" s="15">
        <f>IF($B78="","",(Q78+R78)/M78)</f>
        <v/>
      </c>
      <c r="AB78" s="15">
        <f>IF($B78="","",S78/M78)</f>
        <v/>
      </c>
      <c r="AC78" s="15">
        <f>IF($B78="","",Y78+Z78+AA78+AB78)</f>
        <v/>
      </c>
      <c r="AD78" s="15">
        <f>IF($B78="","",AE78/M78)</f>
        <v/>
      </c>
      <c r="AE78" s="19">
        <f>IF($B78="","",INDEX(AP_ARR,MATCH($A78,AP_FECH,0)))</f>
        <v/>
      </c>
    </row>
    <row r="79">
      <c r="A79" s="12" t="n">
        <v>74</v>
      </c>
      <c r="B79" s="17">
        <f>IFERROR(INDEX(AP_DATA,MATCH($A79,AP_FECH,0)),"")</f>
        <v/>
      </c>
      <c r="C79" s="6">
        <f>IFERROR(INDEX(AP_TURNO,MATCH($A79,AP_FECH,0)),"")</f>
        <v/>
      </c>
      <c r="D79" s="6">
        <f>IFERROR(INDEX(AP_EQ,MATCH($A79,AP_FECH,0)),"")</f>
        <v/>
      </c>
      <c r="E79" s="12">
        <f>IF($B79="","",VLOOKUP($D79,CAD,5,FALSE))</f>
        <v/>
      </c>
      <c r="F79" s="12">
        <f>IF($B79="","",VLOOKUP($D79,CAD,5,FALSE)-VLOOKUP($D79,CAD,10,FALSE))</f>
        <v/>
      </c>
      <c r="G79" s="15">
        <f>IF($B79="","",SUMIFS(AP_DUR,AP_DATA,$B79,AP_TURNO,$C79,AP_EQ,$D79,AP_CLASSE,"Planejada"))</f>
        <v/>
      </c>
      <c r="H79" s="15">
        <f>IF($B79="","",E79-F79-G79)</f>
        <v/>
      </c>
      <c r="I79" s="15">
        <f>IF($B79="","",SUMIFS(AP_DUR,AP_DATA,$B79,AP_TURNO,$C79,AP_EQ,$D79,AP_CLASSE,"Não planejada"))</f>
        <v/>
      </c>
      <c r="J79" s="15">
        <f>IF($B79="","",H79-I79)</f>
        <v/>
      </c>
      <c r="K79" s="6">
        <f>IF($B79="","",IF(I79&gt;H79,"ERRO",""))</f>
        <v/>
      </c>
      <c r="L79" s="18">
        <f>IF($B79="","",IFERROR(J79/H79,""))</f>
        <v/>
      </c>
      <c r="M79" s="15">
        <f>IF($B79="","",VLOOKUP($D79,CAD,3,FALSE))</f>
        <v/>
      </c>
      <c r="N79" s="19">
        <f>IF($B79="","",INDEX(AP_PROD,MATCH($A79,AP_FECH,0)))</f>
        <v/>
      </c>
      <c r="O79" s="19">
        <f>IF($B79="","",J79*M79)</f>
        <v/>
      </c>
      <c r="P79" s="18">
        <f>IF($B79="","",IFERROR(N79/O79,""))</f>
        <v/>
      </c>
      <c r="Q79" s="19">
        <f>IF($B79="","",INDEX(AP_REF,MATCH($A79,AP_FECH,0)))</f>
        <v/>
      </c>
      <c r="R79" s="19">
        <f>IF($B79="","",INDEX(AP_RET,MATCH($A79,AP_FECH,0)))</f>
        <v/>
      </c>
      <c r="S79" s="19">
        <f>IF($B79="","",N79-Q79-R79)</f>
        <v/>
      </c>
      <c r="T79" s="18">
        <f>IF($B79="","",IFERROR(S79/N79,""))</f>
        <v/>
      </c>
      <c r="U79" s="18">
        <f>IF($B79="","",IFERROR(L79*P79*T79,""))</f>
        <v/>
      </c>
      <c r="V79" s="18">
        <f>IF($B79="","",IFERROR(S79/M79/H79,""))</f>
        <v/>
      </c>
      <c r="W79" s="20">
        <f>IF($B79="","",IFERROR(ROUND(U79-V79,6),""))</f>
        <v/>
      </c>
      <c r="X79" s="6">
        <f>IF($B79="","",IF(OR(K79="ERRO",W79&lt;&gt;0),"NÃO PUBLICAR",IF(P79&gt;1,"VERIFICAR: desempenho &gt; 100%","OK: as duas vias fecham")))</f>
        <v/>
      </c>
      <c r="Y79" s="15">
        <f>IF($B79="","",I79)</f>
        <v/>
      </c>
      <c r="Z79" s="15">
        <f>IF($B79="","",J79-N79/M79)</f>
        <v/>
      </c>
      <c r="AA79" s="15">
        <f>IF($B79="","",(Q79+R79)/M79)</f>
        <v/>
      </c>
      <c r="AB79" s="15">
        <f>IF($B79="","",S79/M79)</f>
        <v/>
      </c>
      <c r="AC79" s="15">
        <f>IF($B79="","",Y79+Z79+AA79+AB79)</f>
        <v/>
      </c>
      <c r="AD79" s="15">
        <f>IF($B79="","",AE79/M79)</f>
        <v/>
      </c>
      <c r="AE79" s="19">
        <f>IF($B79="","",INDEX(AP_ARR,MATCH($A79,AP_FECH,0)))</f>
        <v/>
      </c>
    </row>
    <row r="80">
      <c r="A80" s="12" t="n">
        <v>75</v>
      </c>
      <c r="B80" s="17">
        <f>IFERROR(INDEX(AP_DATA,MATCH($A80,AP_FECH,0)),"")</f>
        <v/>
      </c>
      <c r="C80" s="6">
        <f>IFERROR(INDEX(AP_TURNO,MATCH($A80,AP_FECH,0)),"")</f>
        <v/>
      </c>
      <c r="D80" s="6">
        <f>IFERROR(INDEX(AP_EQ,MATCH($A80,AP_FECH,0)),"")</f>
        <v/>
      </c>
      <c r="E80" s="12">
        <f>IF($B80="","",VLOOKUP($D80,CAD,5,FALSE))</f>
        <v/>
      </c>
      <c r="F80" s="12">
        <f>IF($B80="","",VLOOKUP($D80,CAD,5,FALSE)-VLOOKUP($D80,CAD,10,FALSE))</f>
        <v/>
      </c>
      <c r="G80" s="15">
        <f>IF($B80="","",SUMIFS(AP_DUR,AP_DATA,$B80,AP_TURNO,$C80,AP_EQ,$D80,AP_CLASSE,"Planejada"))</f>
        <v/>
      </c>
      <c r="H80" s="15">
        <f>IF($B80="","",E80-F80-G80)</f>
        <v/>
      </c>
      <c r="I80" s="15">
        <f>IF($B80="","",SUMIFS(AP_DUR,AP_DATA,$B80,AP_TURNO,$C80,AP_EQ,$D80,AP_CLASSE,"Não planejada"))</f>
        <v/>
      </c>
      <c r="J80" s="15">
        <f>IF($B80="","",H80-I80)</f>
        <v/>
      </c>
      <c r="K80" s="6">
        <f>IF($B80="","",IF(I80&gt;H80,"ERRO",""))</f>
        <v/>
      </c>
      <c r="L80" s="18">
        <f>IF($B80="","",IFERROR(J80/H80,""))</f>
        <v/>
      </c>
      <c r="M80" s="15">
        <f>IF($B80="","",VLOOKUP($D80,CAD,3,FALSE))</f>
        <v/>
      </c>
      <c r="N80" s="19">
        <f>IF($B80="","",INDEX(AP_PROD,MATCH($A80,AP_FECH,0)))</f>
        <v/>
      </c>
      <c r="O80" s="19">
        <f>IF($B80="","",J80*M80)</f>
        <v/>
      </c>
      <c r="P80" s="18">
        <f>IF($B80="","",IFERROR(N80/O80,""))</f>
        <v/>
      </c>
      <c r="Q80" s="19">
        <f>IF($B80="","",INDEX(AP_REF,MATCH($A80,AP_FECH,0)))</f>
        <v/>
      </c>
      <c r="R80" s="19">
        <f>IF($B80="","",INDEX(AP_RET,MATCH($A80,AP_FECH,0)))</f>
        <v/>
      </c>
      <c r="S80" s="19">
        <f>IF($B80="","",N80-Q80-R80)</f>
        <v/>
      </c>
      <c r="T80" s="18">
        <f>IF($B80="","",IFERROR(S80/N80,""))</f>
        <v/>
      </c>
      <c r="U80" s="18">
        <f>IF($B80="","",IFERROR(L80*P80*T80,""))</f>
        <v/>
      </c>
      <c r="V80" s="18">
        <f>IF($B80="","",IFERROR(S80/M80/H80,""))</f>
        <v/>
      </c>
      <c r="W80" s="20">
        <f>IF($B80="","",IFERROR(ROUND(U80-V80,6),""))</f>
        <v/>
      </c>
      <c r="X80" s="6">
        <f>IF($B80="","",IF(OR(K80="ERRO",W80&lt;&gt;0),"NÃO PUBLICAR",IF(P80&gt;1,"VERIFICAR: desempenho &gt; 100%","OK: as duas vias fecham")))</f>
        <v/>
      </c>
      <c r="Y80" s="15">
        <f>IF($B80="","",I80)</f>
        <v/>
      </c>
      <c r="Z80" s="15">
        <f>IF($B80="","",J80-N80/M80)</f>
        <v/>
      </c>
      <c r="AA80" s="15">
        <f>IF($B80="","",(Q80+R80)/M80)</f>
        <v/>
      </c>
      <c r="AB80" s="15">
        <f>IF($B80="","",S80/M80)</f>
        <v/>
      </c>
      <c r="AC80" s="15">
        <f>IF($B80="","",Y80+Z80+AA80+AB80)</f>
        <v/>
      </c>
      <c r="AD80" s="15">
        <f>IF($B80="","",AE80/M80)</f>
        <v/>
      </c>
      <c r="AE80" s="19">
        <f>IF($B80="","",INDEX(AP_ARR,MATCH($A80,AP_FECH,0)))</f>
        <v/>
      </c>
    </row>
    <row r="81">
      <c r="A81" s="12" t="n">
        <v>76</v>
      </c>
      <c r="B81" s="17">
        <f>IFERROR(INDEX(AP_DATA,MATCH($A81,AP_FECH,0)),"")</f>
        <v/>
      </c>
      <c r="C81" s="6">
        <f>IFERROR(INDEX(AP_TURNO,MATCH($A81,AP_FECH,0)),"")</f>
        <v/>
      </c>
      <c r="D81" s="6">
        <f>IFERROR(INDEX(AP_EQ,MATCH($A81,AP_FECH,0)),"")</f>
        <v/>
      </c>
      <c r="E81" s="12">
        <f>IF($B81="","",VLOOKUP($D81,CAD,5,FALSE))</f>
        <v/>
      </c>
      <c r="F81" s="12">
        <f>IF($B81="","",VLOOKUP($D81,CAD,5,FALSE)-VLOOKUP($D81,CAD,10,FALSE))</f>
        <v/>
      </c>
      <c r="G81" s="15">
        <f>IF($B81="","",SUMIFS(AP_DUR,AP_DATA,$B81,AP_TURNO,$C81,AP_EQ,$D81,AP_CLASSE,"Planejada"))</f>
        <v/>
      </c>
      <c r="H81" s="15">
        <f>IF($B81="","",E81-F81-G81)</f>
        <v/>
      </c>
      <c r="I81" s="15">
        <f>IF($B81="","",SUMIFS(AP_DUR,AP_DATA,$B81,AP_TURNO,$C81,AP_EQ,$D81,AP_CLASSE,"Não planejada"))</f>
        <v/>
      </c>
      <c r="J81" s="15">
        <f>IF($B81="","",H81-I81)</f>
        <v/>
      </c>
      <c r="K81" s="6">
        <f>IF($B81="","",IF(I81&gt;H81,"ERRO",""))</f>
        <v/>
      </c>
      <c r="L81" s="18">
        <f>IF($B81="","",IFERROR(J81/H81,""))</f>
        <v/>
      </c>
      <c r="M81" s="15">
        <f>IF($B81="","",VLOOKUP($D81,CAD,3,FALSE))</f>
        <v/>
      </c>
      <c r="N81" s="19">
        <f>IF($B81="","",INDEX(AP_PROD,MATCH($A81,AP_FECH,0)))</f>
        <v/>
      </c>
      <c r="O81" s="19">
        <f>IF($B81="","",J81*M81)</f>
        <v/>
      </c>
      <c r="P81" s="18">
        <f>IF($B81="","",IFERROR(N81/O81,""))</f>
        <v/>
      </c>
      <c r="Q81" s="19">
        <f>IF($B81="","",INDEX(AP_REF,MATCH($A81,AP_FECH,0)))</f>
        <v/>
      </c>
      <c r="R81" s="19">
        <f>IF($B81="","",INDEX(AP_RET,MATCH($A81,AP_FECH,0)))</f>
        <v/>
      </c>
      <c r="S81" s="19">
        <f>IF($B81="","",N81-Q81-R81)</f>
        <v/>
      </c>
      <c r="T81" s="18">
        <f>IF($B81="","",IFERROR(S81/N81,""))</f>
        <v/>
      </c>
      <c r="U81" s="18">
        <f>IF($B81="","",IFERROR(L81*P81*T81,""))</f>
        <v/>
      </c>
      <c r="V81" s="18">
        <f>IF($B81="","",IFERROR(S81/M81/H81,""))</f>
        <v/>
      </c>
      <c r="W81" s="20">
        <f>IF($B81="","",IFERROR(ROUND(U81-V81,6),""))</f>
        <v/>
      </c>
      <c r="X81" s="6">
        <f>IF($B81="","",IF(OR(K81="ERRO",W81&lt;&gt;0),"NÃO PUBLICAR",IF(P81&gt;1,"VERIFICAR: desempenho &gt; 100%","OK: as duas vias fecham")))</f>
        <v/>
      </c>
      <c r="Y81" s="15">
        <f>IF($B81="","",I81)</f>
        <v/>
      </c>
      <c r="Z81" s="15">
        <f>IF($B81="","",J81-N81/M81)</f>
        <v/>
      </c>
      <c r="AA81" s="15">
        <f>IF($B81="","",(Q81+R81)/M81)</f>
        <v/>
      </c>
      <c r="AB81" s="15">
        <f>IF($B81="","",S81/M81)</f>
        <v/>
      </c>
      <c r="AC81" s="15">
        <f>IF($B81="","",Y81+Z81+AA81+AB81)</f>
        <v/>
      </c>
      <c r="AD81" s="15">
        <f>IF($B81="","",AE81/M81)</f>
        <v/>
      </c>
      <c r="AE81" s="19">
        <f>IF($B81="","",INDEX(AP_ARR,MATCH($A81,AP_FECH,0)))</f>
        <v/>
      </c>
    </row>
    <row r="82">
      <c r="A82" s="12" t="n">
        <v>77</v>
      </c>
      <c r="B82" s="17">
        <f>IFERROR(INDEX(AP_DATA,MATCH($A82,AP_FECH,0)),"")</f>
        <v/>
      </c>
      <c r="C82" s="6">
        <f>IFERROR(INDEX(AP_TURNO,MATCH($A82,AP_FECH,0)),"")</f>
        <v/>
      </c>
      <c r="D82" s="6">
        <f>IFERROR(INDEX(AP_EQ,MATCH($A82,AP_FECH,0)),"")</f>
        <v/>
      </c>
      <c r="E82" s="12">
        <f>IF($B82="","",VLOOKUP($D82,CAD,5,FALSE))</f>
        <v/>
      </c>
      <c r="F82" s="12">
        <f>IF($B82="","",VLOOKUP($D82,CAD,5,FALSE)-VLOOKUP($D82,CAD,10,FALSE))</f>
        <v/>
      </c>
      <c r="G82" s="15">
        <f>IF($B82="","",SUMIFS(AP_DUR,AP_DATA,$B82,AP_TURNO,$C82,AP_EQ,$D82,AP_CLASSE,"Planejada"))</f>
        <v/>
      </c>
      <c r="H82" s="15">
        <f>IF($B82="","",E82-F82-G82)</f>
        <v/>
      </c>
      <c r="I82" s="15">
        <f>IF($B82="","",SUMIFS(AP_DUR,AP_DATA,$B82,AP_TURNO,$C82,AP_EQ,$D82,AP_CLASSE,"Não planejada"))</f>
        <v/>
      </c>
      <c r="J82" s="15">
        <f>IF($B82="","",H82-I82)</f>
        <v/>
      </c>
      <c r="K82" s="6">
        <f>IF($B82="","",IF(I82&gt;H82,"ERRO",""))</f>
        <v/>
      </c>
      <c r="L82" s="18">
        <f>IF($B82="","",IFERROR(J82/H82,""))</f>
        <v/>
      </c>
      <c r="M82" s="15">
        <f>IF($B82="","",VLOOKUP($D82,CAD,3,FALSE))</f>
        <v/>
      </c>
      <c r="N82" s="19">
        <f>IF($B82="","",INDEX(AP_PROD,MATCH($A82,AP_FECH,0)))</f>
        <v/>
      </c>
      <c r="O82" s="19">
        <f>IF($B82="","",J82*M82)</f>
        <v/>
      </c>
      <c r="P82" s="18">
        <f>IF($B82="","",IFERROR(N82/O82,""))</f>
        <v/>
      </c>
      <c r="Q82" s="19">
        <f>IF($B82="","",INDEX(AP_REF,MATCH($A82,AP_FECH,0)))</f>
        <v/>
      </c>
      <c r="R82" s="19">
        <f>IF($B82="","",INDEX(AP_RET,MATCH($A82,AP_FECH,0)))</f>
        <v/>
      </c>
      <c r="S82" s="19">
        <f>IF($B82="","",N82-Q82-R82)</f>
        <v/>
      </c>
      <c r="T82" s="18">
        <f>IF($B82="","",IFERROR(S82/N82,""))</f>
        <v/>
      </c>
      <c r="U82" s="18">
        <f>IF($B82="","",IFERROR(L82*P82*T82,""))</f>
        <v/>
      </c>
      <c r="V82" s="18">
        <f>IF($B82="","",IFERROR(S82/M82/H82,""))</f>
        <v/>
      </c>
      <c r="W82" s="20">
        <f>IF($B82="","",IFERROR(ROUND(U82-V82,6),""))</f>
        <v/>
      </c>
      <c r="X82" s="6">
        <f>IF($B82="","",IF(OR(K82="ERRO",W82&lt;&gt;0),"NÃO PUBLICAR",IF(P82&gt;1,"VERIFICAR: desempenho &gt; 100%","OK: as duas vias fecham")))</f>
        <v/>
      </c>
      <c r="Y82" s="15">
        <f>IF($B82="","",I82)</f>
        <v/>
      </c>
      <c r="Z82" s="15">
        <f>IF($B82="","",J82-N82/M82)</f>
        <v/>
      </c>
      <c r="AA82" s="15">
        <f>IF($B82="","",(Q82+R82)/M82)</f>
        <v/>
      </c>
      <c r="AB82" s="15">
        <f>IF($B82="","",S82/M82)</f>
        <v/>
      </c>
      <c r="AC82" s="15">
        <f>IF($B82="","",Y82+Z82+AA82+AB82)</f>
        <v/>
      </c>
      <c r="AD82" s="15">
        <f>IF($B82="","",AE82/M82)</f>
        <v/>
      </c>
      <c r="AE82" s="19">
        <f>IF($B82="","",INDEX(AP_ARR,MATCH($A82,AP_FECH,0)))</f>
        <v/>
      </c>
    </row>
    <row r="83">
      <c r="A83" s="12" t="n">
        <v>78</v>
      </c>
      <c r="B83" s="17">
        <f>IFERROR(INDEX(AP_DATA,MATCH($A83,AP_FECH,0)),"")</f>
        <v/>
      </c>
      <c r="C83" s="6">
        <f>IFERROR(INDEX(AP_TURNO,MATCH($A83,AP_FECH,0)),"")</f>
        <v/>
      </c>
      <c r="D83" s="6">
        <f>IFERROR(INDEX(AP_EQ,MATCH($A83,AP_FECH,0)),"")</f>
        <v/>
      </c>
      <c r="E83" s="12">
        <f>IF($B83="","",VLOOKUP($D83,CAD,5,FALSE))</f>
        <v/>
      </c>
      <c r="F83" s="12">
        <f>IF($B83="","",VLOOKUP($D83,CAD,5,FALSE)-VLOOKUP($D83,CAD,10,FALSE))</f>
        <v/>
      </c>
      <c r="G83" s="15">
        <f>IF($B83="","",SUMIFS(AP_DUR,AP_DATA,$B83,AP_TURNO,$C83,AP_EQ,$D83,AP_CLASSE,"Planejada"))</f>
        <v/>
      </c>
      <c r="H83" s="15">
        <f>IF($B83="","",E83-F83-G83)</f>
        <v/>
      </c>
      <c r="I83" s="15">
        <f>IF($B83="","",SUMIFS(AP_DUR,AP_DATA,$B83,AP_TURNO,$C83,AP_EQ,$D83,AP_CLASSE,"Não planejada"))</f>
        <v/>
      </c>
      <c r="J83" s="15">
        <f>IF($B83="","",H83-I83)</f>
        <v/>
      </c>
      <c r="K83" s="6">
        <f>IF($B83="","",IF(I83&gt;H83,"ERRO",""))</f>
        <v/>
      </c>
      <c r="L83" s="18">
        <f>IF($B83="","",IFERROR(J83/H83,""))</f>
        <v/>
      </c>
      <c r="M83" s="15">
        <f>IF($B83="","",VLOOKUP($D83,CAD,3,FALSE))</f>
        <v/>
      </c>
      <c r="N83" s="19">
        <f>IF($B83="","",INDEX(AP_PROD,MATCH($A83,AP_FECH,0)))</f>
        <v/>
      </c>
      <c r="O83" s="19">
        <f>IF($B83="","",J83*M83)</f>
        <v/>
      </c>
      <c r="P83" s="18">
        <f>IF($B83="","",IFERROR(N83/O83,""))</f>
        <v/>
      </c>
      <c r="Q83" s="19">
        <f>IF($B83="","",INDEX(AP_REF,MATCH($A83,AP_FECH,0)))</f>
        <v/>
      </c>
      <c r="R83" s="19">
        <f>IF($B83="","",INDEX(AP_RET,MATCH($A83,AP_FECH,0)))</f>
        <v/>
      </c>
      <c r="S83" s="19">
        <f>IF($B83="","",N83-Q83-R83)</f>
        <v/>
      </c>
      <c r="T83" s="18">
        <f>IF($B83="","",IFERROR(S83/N83,""))</f>
        <v/>
      </c>
      <c r="U83" s="18">
        <f>IF($B83="","",IFERROR(L83*P83*T83,""))</f>
        <v/>
      </c>
      <c r="V83" s="18">
        <f>IF($B83="","",IFERROR(S83/M83/H83,""))</f>
        <v/>
      </c>
      <c r="W83" s="20">
        <f>IF($B83="","",IFERROR(ROUND(U83-V83,6),""))</f>
        <v/>
      </c>
      <c r="X83" s="6">
        <f>IF($B83="","",IF(OR(K83="ERRO",W83&lt;&gt;0),"NÃO PUBLICAR",IF(P83&gt;1,"VERIFICAR: desempenho &gt; 100%","OK: as duas vias fecham")))</f>
        <v/>
      </c>
      <c r="Y83" s="15">
        <f>IF($B83="","",I83)</f>
        <v/>
      </c>
      <c r="Z83" s="15">
        <f>IF($B83="","",J83-N83/M83)</f>
        <v/>
      </c>
      <c r="AA83" s="15">
        <f>IF($B83="","",(Q83+R83)/M83)</f>
        <v/>
      </c>
      <c r="AB83" s="15">
        <f>IF($B83="","",S83/M83)</f>
        <v/>
      </c>
      <c r="AC83" s="15">
        <f>IF($B83="","",Y83+Z83+AA83+AB83)</f>
        <v/>
      </c>
      <c r="AD83" s="15">
        <f>IF($B83="","",AE83/M83)</f>
        <v/>
      </c>
      <c r="AE83" s="19">
        <f>IF($B83="","",INDEX(AP_ARR,MATCH($A83,AP_FECH,0)))</f>
        <v/>
      </c>
    </row>
    <row r="84">
      <c r="A84" s="12" t="n">
        <v>79</v>
      </c>
      <c r="B84" s="17">
        <f>IFERROR(INDEX(AP_DATA,MATCH($A84,AP_FECH,0)),"")</f>
        <v/>
      </c>
      <c r="C84" s="6">
        <f>IFERROR(INDEX(AP_TURNO,MATCH($A84,AP_FECH,0)),"")</f>
        <v/>
      </c>
      <c r="D84" s="6">
        <f>IFERROR(INDEX(AP_EQ,MATCH($A84,AP_FECH,0)),"")</f>
        <v/>
      </c>
      <c r="E84" s="12">
        <f>IF($B84="","",VLOOKUP($D84,CAD,5,FALSE))</f>
        <v/>
      </c>
      <c r="F84" s="12">
        <f>IF($B84="","",VLOOKUP($D84,CAD,5,FALSE)-VLOOKUP($D84,CAD,10,FALSE))</f>
        <v/>
      </c>
      <c r="G84" s="15">
        <f>IF($B84="","",SUMIFS(AP_DUR,AP_DATA,$B84,AP_TURNO,$C84,AP_EQ,$D84,AP_CLASSE,"Planejada"))</f>
        <v/>
      </c>
      <c r="H84" s="15">
        <f>IF($B84="","",E84-F84-G84)</f>
        <v/>
      </c>
      <c r="I84" s="15">
        <f>IF($B84="","",SUMIFS(AP_DUR,AP_DATA,$B84,AP_TURNO,$C84,AP_EQ,$D84,AP_CLASSE,"Não planejada"))</f>
        <v/>
      </c>
      <c r="J84" s="15">
        <f>IF($B84="","",H84-I84)</f>
        <v/>
      </c>
      <c r="K84" s="6">
        <f>IF($B84="","",IF(I84&gt;H84,"ERRO",""))</f>
        <v/>
      </c>
      <c r="L84" s="18">
        <f>IF($B84="","",IFERROR(J84/H84,""))</f>
        <v/>
      </c>
      <c r="M84" s="15">
        <f>IF($B84="","",VLOOKUP($D84,CAD,3,FALSE))</f>
        <v/>
      </c>
      <c r="N84" s="19">
        <f>IF($B84="","",INDEX(AP_PROD,MATCH($A84,AP_FECH,0)))</f>
        <v/>
      </c>
      <c r="O84" s="19">
        <f>IF($B84="","",J84*M84)</f>
        <v/>
      </c>
      <c r="P84" s="18">
        <f>IF($B84="","",IFERROR(N84/O84,""))</f>
        <v/>
      </c>
      <c r="Q84" s="19">
        <f>IF($B84="","",INDEX(AP_REF,MATCH($A84,AP_FECH,0)))</f>
        <v/>
      </c>
      <c r="R84" s="19">
        <f>IF($B84="","",INDEX(AP_RET,MATCH($A84,AP_FECH,0)))</f>
        <v/>
      </c>
      <c r="S84" s="19">
        <f>IF($B84="","",N84-Q84-R84)</f>
        <v/>
      </c>
      <c r="T84" s="18">
        <f>IF($B84="","",IFERROR(S84/N84,""))</f>
        <v/>
      </c>
      <c r="U84" s="18">
        <f>IF($B84="","",IFERROR(L84*P84*T84,""))</f>
        <v/>
      </c>
      <c r="V84" s="18">
        <f>IF($B84="","",IFERROR(S84/M84/H84,""))</f>
        <v/>
      </c>
      <c r="W84" s="20">
        <f>IF($B84="","",IFERROR(ROUND(U84-V84,6),""))</f>
        <v/>
      </c>
      <c r="X84" s="6">
        <f>IF($B84="","",IF(OR(K84="ERRO",W84&lt;&gt;0),"NÃO PUBLICAR",IF(P84&gt;1,"VERIFICAR: desempenho &gt; 100%","OK: as duas vias fecham")))</f>
        <v/>
      </c>
      <c r="Y84" s="15">
        <f>IF($B84="","",I84)</f>
        <v/>
      </c>
      <c r="Z84" s="15">
        <f>IF($B84="","",J84-N84/M84)</f>
        <v/>
      </c>
      <c r="AA84" s="15">
        <f>IF($B84="","",(Q84+R84)/M84)</f>
        <v/>
      </c>
      <c r="AB84" s="15">
        <f>IF($B84="","",S84/M84)</f>
        <v/>
      </c>
      <c r="AC84" s="15">
        <f>IF($B84="","",Y84+Z84+AA84+AB84)</f>
        <v/>
      </c>
      <c r="AD84" s="15">
        <f>IF($B84="","",AE84/M84)</f>
        <v/>
      </c>
      <c r="AE84" s="19">
        <f>IF($B84="","",INDEX(AP_ARR,MATCH($A84,AP_FECH,0)))</f>
        <v/>
      </c>
    </row>
    <row r="85">
      <c r="A85" s="12" t="n">
        <v>80</v>
      </c>
      <c r="B85" s="17">
        <f>IFERROR(INDEX(AP_DATA,MATCH($A85,AP_FECH,0)),"")</f>
        <v/>
      </c>
      <c r="C85" s="6">
        <f>IFERROR(INDEX(AP_TURNO,MATCH($A85,AP_FECH,0)),"")</f>
        <v/>
      </c>
      <c r="D85" s="6">
        <f>IFERROR(INDEX(AP_EQ,MATCH($A85,AP_FECH,0)),"")</f>
        <v/>
      </c>
      <c r="E85" s="12">
        <f>IF($B85="","",VLOOKUP($D85,CAD,5,FALSE))</f>
        <v/>
      </c>
      <c r="F85" s="12">
        <f>IF($B85="","",VLOOKUP($D85,CAD,5,FALSE)-VLOOKUP($D85,CAD,10,FALSE))</f>
        <v/>
      </c>
      <c r="G85" s="15">
        <f>IF($B85="","",SUMIFS(AP_DUR,AP_DATA,$B85,AP_TURNO,$C85,AP_EQ,$D85,AP_CLASSE,"Planejada"))</f>
        <v/>
      </c>
      <c r="H85" s="15">
        <f>IF($B85="","",E85-F85-G85)</f>
        <v/>
      </c>
      <c r="I85" s="15">
        <f>IF($B85="","",SUMIFS(AP_DUR,AP_DATA,$B85,AP_TURNO,$C85,AP_EQ,$D85,AP_CLASSE,"Não planejada"))</f>
        <v/>
      </c>
      <c r="J85" s="15">
        <f>IF($B85="","",H85-I85)</f>
        <v/>
      </c>
      <c r="K85" s="6">
        <f>IF($B85="","",IF(I85&gt;H85,"ERRO",""))</f>
        <v/>
      </c>
      <c r="L85" s="18">
        <f>IF($B85="","",IFERROR(J85/H85,""))</f>
        <v/>
      </c>
      <c r="M85" s="15">
        <f>IF($B85="","",VLOOKUP($D85,CAD,3,FALSE))</f>
        <v/>
      </c>
      <c r="N85" s="19">
        <f>IF($B85="","",INDEX(AP_PROD,MATCH($A85,AP_FECH,0)))</f>
        <v/>
      </c>
      <c r="O85" s="19">
        <f>IF($B85="","",J85*M85)</f>
        <v/>
      </c>
      <c r="P85" s="18">
        <f>IF($B85="","",IFERROR(N85/O85,""))</f>
        <v/>
      </c>
      <c r="Q85" s="19">
        <f>IF($B85="","",INDEX(AP_REF,MATCH($A85,AP_FECH,0)))</f>
        <v/>
      </c>
      <c r="R85" s="19">
        <f>IF($B85="","",INDEX(AP_RET,MATCH($A85,AP_FECH,0)))</f>
        <v/>
      </c>
      <c r="S85" s="19">
        <f>IF($B85="","",N85-Q85-R85)</f>
        <v/>
      </c>
      <c r="T85" s="18">
        <f>IF($B85="","",IFERROR(S85/N85,""))</f>
        <v/>
      </c>
      <c r="U85" s="18">
        <f>IF($B85="","",IFERROR(L85*P85*T85,""))</f>
        <v/>
      </c>
      <c r="V85" s="18">
        <f>IF($B85="","",IFERROR(S85/M85/H85,""))</f>
        <v/>
      </c>
      <c r="W85" s="20">
        <f>IF($B85="","",IFERROR(ROUND(U85-V85,6),""))</f>
        <v/>
      </c>
      <c r="X85" s="6">
        <f>IF($B85="","",IF(OR(K85="ERRO",W85&lt;&gt;0),"NÃO PUBLICAR",IF(P85&gt;1,"VERIFICAR: desempenho &gt; 100%","OK: as duas vias fecham")))</f>
        <v/>
      </c>
      <c r="Y85" s="15">
        <f>IF($B85="","",I85)</f>
        <v/>
      </c>
      <c r="Z85" s="15">
        <f>IF($B85="","",J85-N85/M85)</f>
        <v/>
      </c>
      <c r="AA85" s="15">
        <f>IF($B85="","",(Q85+R85)/M85)</f>
        <v/>
      </c>
      <c r="AB85" s="15">
        <f>IF($B85="","",S85/M85)</f>
        <v/>
      </c>
      <c r="AC85" s="15">
        <f>IF($B85="","",Y85+Z85+AA85+AB85)</f>
        <v/>
      </c>
      <c r="AD85" s="15">
        <f>IF($B85="","",AE85/M85)</f>
        <v/>
      </c>
      <c r="AE85" s="19">
        <f>IF($B85="","",INDEX(AP_ARR,MATCH($A85,AP_FECH,0)))</f>
        <v/>
      </c>
    </row>
    <row r="86">
      <c r="A86" s="12" t="n">
        <v>81</v>
      </c>
      <c r="B86" s="17">
        <f>IFERROR(INDEX(AP_DATA,MATCH($A86,AP_FECH,0)),"")</f>
        <v/>
      </c>
      <c r="C86" s="6">
        <f>IFERROR(INDEX(AP_TURNO,MATCH($A86,AP_FECH,0)),"")</f>
        <v/>
      </c>
      <c r="D86" s="6">
        <f>IFERROR(INDEX(AP_EQ,MATCH($A86,AP_FECH,0)),"")</f>
        <v/>
      </c>
      <c r="E86" s="12">
        <f>IF($B86="","",VLOOKUP($D86,CAD,5,FALSE))</f>
        <v/>
      </c>
      <c r="F86" s="12">
        <f>IF($B86="","",VLOOKUP($D86,CAD,5,FALSE)-VLOOKUP($D86,CAD,10,FALSE))</f>
        <v/>
      </c>
      <c r="G86" s="15">
        <f>IF($B86="","",SUMIFS(AP_DUR,AP_DATA,$B86,AP_TURNO,$C86,AP_EQ,$D86,AP_CLASSE,"Planejada"))</f>
        <v/>
      </c>
      <c r="H86" s="15">
        <f>IF($B86="","",E86-F86-G86)</f>
        <v/>
      </c>
      <c r="I86" s="15">
        <f>IF($B86="","",SUMIFS(AP_DUR,AP_DATA,$B86,AP_TURNO,$C86,AP_EQ,$D86,AP_CLASSE,"Não planejada"))</f>
        <v/>
      </c>
      <c r="J86" s="15">
        <f>IF($B86="","",H86-I86)</f>
        <v/>
      </c>
      <c r="K86" s="6">
        <f>IF($B86="","",IF(I86&gt;H86,"ERRO",""))</f>
        <v/>
      </c>
      <c r="L86" s="18">
        <f>IF($B86="","",IFERROR(J86/H86,""))</f>
        <v/>
      </c>
      <c r="M86" s="15">
        <f>IF($B86="","",VLOOKUP($D86,CAD,3,FALSE))</f>
        <v/>
      </c>
      <c r="N86" s="19">
        <f>IF($B86="","",INDEX(AP_PROD,MATCH($A86,AP_FECH,0)))</f>
        <v/>
      </c>
      <c r="O86" s="19">
        <f>IF($B86="","",J86*M86)</f>
        <v/>
      </c>
      <c r="P86" s="18">
        <f>IF($B86="","",IFERROR(N86/O86,""))</f>
        <v/>
      </c>
      <c r="Q86" s="19">
        <f>IF($B86="","",INDEX(AP_REF,MATCH($A86,AP_FECH,0)))</f>
        <v/>
      </c>
      <c r="R86" s="19">
        <f>IF($B86="","",INDEX(AP_RET,MATCH($A86,AP_FECH,0)))</f>
        <v/>
      </c>
      <c r="S86" s="19">
        <f>IF($B86="","",N86-Q86-R86)</f>
        <v/>
      </c>
      <c r="T86" s="18">
        <f>IF($B86="","",IFERROR(S86/N86,""))</f>
        <v/>
      </c>
      <c r="U86" s="18">
        <f>IF($B86="","",IFERROR(L86*P86*T86,""))</f>
        <v/>
      </c>
      <c r="V86" s="18">
        <f>IF($B86="","",IFERROR(S86/M86/H86,""))</f>
        <v/>
      </c>
      <c r="W86" s="20">
        <f>IF($B86="","",IFERROR(ROUND(U86-V86,6),""))</f>
        <v/>
      </c>
      <c r="X86" s="6">
        <f>IF($B86="","",IF(OR(K86="ERRO",W86&lt;&gt;0),"NÃO PUBLICAR",IF(P86&gt;1,"VERIFICAR: desempenho &gt; 100%","OK: as duas vias fecham")))</f>
        <v/>
      </c>
      <c r="Y86" s="15">
        <f>IF($B86="","",I86)</f>
        <v/>
      </c>
      <c r="Z86" s="15">
        <f>IF($B86="","",J86-N86/M86)</f>
        <v/>
      </c>
      <c r="AA86" s="15">
        <f>IF($B86="","",(Q86+R86)/M86)</f>
        <v/>
      </c>
      <c r="AB86" s="15">
        <f>IF($B86="","",S86/M86)</f>
        <v/>
      </c>
      <c r="AC86" s="15">
        <f>IF($B86="","",Y86+Z86+AA86+AB86)</f>
        <v/>
      </c>
      <c r="AD86" s="15">
        <f>IF($B86="","",AE86/M86)</f>
        <v/>
      </c>
      <c r="AE86" s="19">
        <f>IF($B86="","",INDEX(AP_ARR,MATCH($A86,AP_FECH,0)))</f>
        <v/>
      </c>
    </row>
    <row r="87">
      <c r="A87" s="12" t="n">
        <v>82</v>
      </c>
      <c r="B87" s="17">
        <f>IFERROR(INDEX(AP_DATA,MATCH($A87,AP_FECH,0)),"")</f>
        <v/>
      </c>
      <c r="C87" s="6">
        <f>IFERROR(INDEX(AP_TURNO,MATCH($A87,AP_FECH,0)),"")</f>
        <v/>
      </c>
      <c r="D87" s="6">
        <f>IFERROR(INDEX(AP_EQ,MATCH($A87,AP_FECH,0)),"")</f>
        <v/>
      </c>
      <c r="E87" s="12">
        <f>IF($B87="","",VLOOKUP($D87,CAD,5,FALSE))</f>
        <v/>
      </c>
      <c r="F87" s="12">
        <f>IF($B87="","",VLOOKUP($D87,CAD,5,FALSE)-VLOOKUP($D87,CAD,10,FALSE))</f>
        <v/>
      </c>
      <c r="G87" s="15">
        <f>IF($B87="","",SUMIFS(AP_DUR,AP_DATA,$B87,AP_TURNO,$C87,AP_EQ,$D87,AP_CLASSE,"Planejada"))</f>
        <v/>
      </c>
      <c r="H87" s="15">
        <f>IF($B87="","",E87-F87-G87)</f>
        <v/>
      </c>
      <c r="I87" s="15">
        <f>IF($B87="","",SUMIFS(AP_DUR,AP_DATA,$B87,AP_TURNO,$C87,AP_EQ,$D87,AP_CLASSE,"Não planejada"))</f>
        <v/>
      </c>
      <c r="J87" s="15">
        <f>IF($B87="","",H87-I87)</f>
        <v/>
      </c>
      <c r="K87" s="6">
        <f>IF($B87="","",IF(I87&gt;H87,"ERRO",""))</f>
        <v/>
      </c>
      <c r="L87" s="18">
        <f>IF($B87="","",IFERROR(J87/H87,""))</f>
        <v/>
      </c>
      <c r="M87" s="15">
        <f>IF($B87="","",VLOOKUP($D87,CAD,3,FALSE))</f>
        <v/>
      </c>
      <c r="N87" s="19">
        <f>IF($B87="","",INDEX(AP_PROD,MATCH($A87,AP_FECH,0)))</f>
        <v/>
      </c>
      <c r="O87" s="19">
        <f>IF($B87="","",J87*M87)</f>
        <v/>
      </c>
      <c r="P87" s="18">
        <f>IF($B87="","",IFERROR(N87/O87,""))</f>
        <v/>
      </c>
      <c r="Q87" s="19">
        <f>IF($B87="","",INDEX(AP_REF,MATCH($A87,AP_FECH,0)))</f>
        <v/>
      </c>
      <c r="R87" s="19">
        <f>IF($B87="","",INDEX(AP_RET,MATCH($A87,AP_FECH,0)))</f>
        <v/>
      </c>
      <c r="S87" s="19">
        <f>IF($B87="","",N87-Q87-R87)</f>
        <v/>
      </c>
      <c r="T87" s="18">
        <f>IF($B87="","",IFERROR(S87/N87,""))</f>
        <v/>
      </c>
      <c r="U87" s="18">
        <f>IF($B87="","",IFERROR(L87*P87*T87,""))</f>
        <v/>
      </c>
      <c r="V87" s="18">
        <f>IF($B87="","",IFERROR(S87/M87/H87,""))</f>
        <v/>
      </c>
      <c r="W87" s="20">
        <f>IF($B87="","",IFERROR(ROUND(U87-V87,6),""))</f>
        <v/>
      </c>
      <c r="X87" s="6">
        <f>IF($B87="","",IF(OR(K87="ERRO",W87&lt;&gt;0),"NÃO PUBLICAR",IF(P87&gt;1,"VERIFICAR: desempenho &gt; 100%","OK: as duas vias fecham")))</f>
        <v/>
      </c>
      <c r="Y87" s="15">
        <f>IF($B87="","",I87)</f>
        <v/>
      </c>
      <c r="Z87" s="15">
        <f>IF($B87="","",J87-N87/M87)</f>
        <v/>
      </c>
      <c r="AA87" s="15">
        <f>IF($B87="","",(Q87+R87)/M87)</f>
        <v/>
      </c>
      <c r="AB87" s="15">
        <f>IF($B87="","",S87/M87)</f>
        <v/>
      </c>
      <c r="AC87" s="15">
        <f>IF($B87="","",Y87+Z87+AA87+AB87)</f>
        <v/>
      </c>
      <c r="AD87" s="15">
        <f>IF($B87="","",AE87/M87)</f>
        <v/>
      </c>
      <c r="AE87" s="19">
        <f>IF($B87="","",INDEX(AP_ARR,MATCH($A87,AP_FECH,0)))</f>
        <v/>
      </c>
    </row>
    <row r="88">
      <c r="A88" s="12" t="n">
        <v>83</v>
      </c>
      <c r="B88" s="17">
        <f>IFERROR(INDEX(AP_DATA,MATCH($A88,AP_FECH,0)),"")</f>
        <v/>
      </c>
      <c r="C88" s="6">
        <f>IFERROR(INDEX(AP_TURNO,MATCH($A88,AP_FECH,0)),"")</f>
        <v/>
      </c>
      <c r="D88" s="6">
        <f>IFERROR(INDEX(AP_EQ,MATCH($A88,AP_FECH,0)),"")</f>
        <v/>
      </c>
      <c r="E88" s="12">
        <f>IF($B88="","",VLOOKUP($D88,CAD,5,FALSE))</f>
        <v/>
      </c>
      <c r="F88" s="12">
        <f>IF($B88="","",VLOOKUP($D88,CAD,5,FALSE)-VLOOKUP($D88,CAD,10,FALSE))</f>
        <v/>
      </c>
      <c r="G88" s="15">
        <f>IF($B88="","",SUMIFS(AP_DUR,AP_DATA,$B88,AP_TURNO,$C88,AP_EQ,$D88,AP_CLASSE,"Planejada"))</f>
        <v/>
      </c>
      <c r="H88" s="15">
        <f>IF($B88="","",E88-F88-G88)</f>
        <v/>
      </c>
      <c r="I88" s="15">
        <f>IF($B88="","",SUMIFS(AP_DUR,AP_DATA,$B88,AP_TURNO,$C88,AP_EQ,$D88,AP_CLASSE,"Não planejada"))</f>
        <v/>
      </c>
      <c r="J88" s="15">
        <f>IF($B88="","",H88-I88)</f>
        <v/>
      </c>
      <c r="K88" s="6">
        <f>IF($B88="","",IF(I88&gt;H88,"ERRO",""))</f>
        <v/>
      </c>
      <c r="L88" s="18">
        <f>IF($B88="","",IFERROR(J88/H88,""))</f>
        <v/>
      </c>
      <c r="M88" s="15">
        <f>IF($B88="","",VLOOKUP($D88,CAD,3,FALSE))</f>
        <v/>
      </c>
      <c r="N88" s="19">
        <f>IF($B88="","",INDEX(AP_PROD,MATCH($A88,AP_FECH,0)))</f>
        <v/>
      </c>
      <c r="O88" s="19">
        <f>IF($B88="","",J88*M88)</f>
        <v/>
      </c>
      <c r="P88" s="18">
        <f>IF($B88="","",IFERROR(N88/O88,""))</f>
        <v/>
      </c>
      <c r="Q88" s="19">
        <f>IF($B88="","",INDEX(AP_REF,MATCH($A88,AP_FECH,0)))</f>
        <v/>
      </c>
      <c r="R88" s="19">
        <f>IF($B88="","",INDEX(AP_RET,MATCH($A88,AP_FECH,0)))</f>
        <v/>
      </c>
      <c r="S88" s="19">
        <f>IF($B88="","",N88-Q88-R88)</f>
        <v/>
      </c>
      <c r="T88" s="18">
        <f>IF($B88="","",IFERROR(S88/N88,""))</f>
        <v/>
      </c>
      <c r="U88" s="18">
        <f>IF($B88="","",IFERROR(L88*P88*T88,""))</f>
        <v/>
      </c>
      <c r="V88" s="18">
        <f>IF($B88="","",IFERROR(S88/M88/H88,""))</f>
        <v/>
      </c>
      <c r="W88" s="20">
        <f>IF($B88="","",IFERROR(ROUND(U88-V88,6),""))</f>
        <v/>
      </c>
      <c r="X88" s="6">
        <f>IF($B88="","",IF(OR(K88="ERRO",W88&lt;&gt;0),"NÃO PUBLICAR",IF(P88&gt;1,"VERIFICAR: desempenho &gt; 100%","OK: as duas vias fecham")))</f>
        <v/>
      </c>
      <c r="Y88" s="15">
        <f>IF($B88="","",I88)</f>
        <v/>
      </c>
      <c r="Z88" s="15">
        <f>IF($B88="","",J88-N88/M88)</f>
        <v/>
      </c>
      <c r="AA88" s="15">
        <f>IF($B88="","",(Q88+R88)/M88)</f>
        <v/>
      </c>
      <c r="AB88" s="15">
        <f>IF($B88="","",S88/M88)</f>
        <v/>
      </c>
      <c r="AC88" s="15">
        <f>IF($B88="","",Y88+Z88+AA88+AB88)</f>
        <v/>
      </c>
      <c r="AD88" s="15">
        <f>IF($B88="","",AE88/M88)</f>
        <v/>
      </c>
      <c r="AE88" s="19">
        <f>IF($B88="","",INDEX(AP_ARR,MATCH($A88,AP_FECH,0)))</f>
        <v/>
      </c>
    </row>
    <row r="89">
      <c r="A89" s="12" t="n">
        <v>84</v>
      </c>
      <c r="B89" s="17">
        <f>IFERROR(INDEX(AP_DATA,MATCH($A89,AP_FECH,0)),"")</f>
        <v/>
      </c>
      <c r="C89" s="6">
        <f>IFERROR(INDEX(AP_TURNO,MATCH($A89,AP_FECH,0)),"")</f>
        <v/>
      </c>
      <c r="D89" s="6">
        <f>IFERROR(INDEX(AP_EQ,MATCH($A89,AP_FECH,0)),"")</f>
        <v/>
      </c>
      <c r="E89" s="12">
        <f>IF($B89="","",VLOOKUP($D89,CAD,5,FALSE))</f>
        <v/>
      </c>
      <c r="F89" s="12">
        <f>IF($B89="","",VLOOKUP($D89,CAD,5,FALSE)-VLOOKUP($D89,CAD,10,FALSE))</f>
        <v/>
      </c>
      <c r="G89" s="15">
        <f>IF($B89="","",SUMIFS(AP_DUR,AP_DATA,$B89,AP_TURNO,$C89,AP_EQ,$D89,AP_CLASSE,"Planejada"))</f>
        <v/>
      </c>
      <c r="H89" s="15">
        <f>IF($B89="","",E89-F89-G89)</f>
        <v/>
      </c>
      <c r="I89" s="15">
        <f>IF($B89="","",SUMIFS(AP_DUR,AP_DATA,$B89,AP_TURNO,$C89,AP_EQ,$D89,AP_CLASSE,"Não planejada"))</f>
        <v/>
      </c>
      <c r="J89" s="15">
        <f>IF($B89="","",H89-I89)</f>
        <v/>
      </c>
      <c r="K89" s="6">
        <f>IF($B89="","",IF(I89&gt;H89,"ERRO",""))</f>
        <v/>
      </c>
      <c r="L89" s="18">
        <f>IF($B89="","",IFERROR(J89/H89,""))</f>
        <v/>
      </c>
      <c r="M89" s="15">
        <f>IF($B89="","",VLOOKUP($D89,CAD,3,FALSE))</f>
        <v/>
      </c>
      <c r="N89" s="19">
        <f>IF($B89="","",INDEX(AP_PROD,MATCH($A89,AP_FECH,0)))</f>
        <v/>
      </c>
      <c r="O89" s="19">
        <f>IF($B89="","",J89*M89)</f>
        <v/>
      </c>
      <c r="P89" s="18">
        <f>IF($B89="","",IFERROR(N89/O89,""))</f>
        <v/>
      </c>
      <c r="Q89" s="19">
        <f>IF($B89="","",INDEX(AP_REF,MATCH($A89,AP_FECH,0)))</f>
        <v/>
      </c>
      <c r="R89" s="19">
        <f>IF($B89="","",INDEX(AP_RET,MATCH($A89,AP_FECH,0)))</f>
        <v/>
      </c>
      <c r="S89" s="19">
        <f>IF($B89="","",N89-Q89-R89)</f>
        <v/>
      </c>
      <c r="T89" s="18">
        <f>IF($B89="","",IFERROR(S89/N89,""))</f>
        <v/>
      </c>
      <c r="U89" s="18">
        <f>IF($B89="","",IFERROR(L89*P89*T89,""))</f>
        <v/>
      </c>
      <c r="V89" s="18">
        <f>IF($B89="","",IFERROR(S89/M89/H89,""))</f>
        <v/>
      </c>
      <c r="W89" s="20">
        <f>IF($B89="","",IFERROR(ROUND(U89-V89,6),""))</f>
        <v/>
      </c>
      <c r="X89" s="6">
        <f>IF($B89="","",IF(OR(K89="ERRO",W89&lt;&gt;0),"NÃO PUBLICAR",IF(P89&gt;1,"VERIFICAR: desempenho &gt; 100%","OK: as duas vias fecham")))</f>
        <v/>
      </c>
      <c r="Y89" s="15">
        <f>IF($B89="","",I89)</f>
        <v/>
      </c>
      <c r="Z89" s="15">
        <f>IF($B89="","",J89-N89/M89)</f>
        <v/>
      </c>
      <c r="AA89" s="15">
        <f>IF($B89="","",(Q89+R89)/M89)</f>
        <v/>
      </c>
      <c r="AB89" s="15">
        <f>IF($B89="","",S89/M89)</f>
        <v/>
      </c>
      <c r="AC89" s="15">
        <f>IF($B89="","",Y89+Z89+AA89+AB89)</f>
        <v/>
      </c>
      <c r="AD89" s="15">
        <f>IF($B89="","",AE89/M89)</f>
        <v/>
      </c>
      <c r="AE89" s="19">
        <f>IF($B89="","",INDEX(AP_ARR,MATCH($A89,AP_FECH,0)))</f>
        <v/>
      </c>
    </row>
    <row r="90">
      <c r="A90" s="12" t="n">
        <v>85</v>
      </c>
      <c r="B90" s="17">
        <f>IFERROR(INDEX(AP_DATA,MATCH($A90,AP_FECH,0)),"")</f>
        <v/>
      </c>
      <c r="C90" s="6">
        <f>IFERROR(INDEX(AP_TURNO,MATCH($A90,AP_FECH,0)),"")</f>
        <v/>
      </c>
      <c r="D90" s="6">
        <f>IFERROR(INDEX(AP_EQ,MATCH($A90,AP_FECH,0)),"")</f>
        <v/>
      </c>
      <c r="E90" s="12">
        <f>IF($B90="","",VLOOKUP($D90,CAD,5,FALSE))</f>
        <v/>
      </c>
      <c r="F90" s="12">
        <f>IF($B90="","",VLOOKUP($D90,CAD,5,FALSE)-VLOOKUP($D90,CAD,10,FALSE))</f>
        <v/>
      </c>
      <c r="G90" s="15">
        <f>IF($B90="","",SUMIFS(AP_DUR,AP_DATA,$B90,AP_TURNO,$C90,AP_EQ,$D90,AP_CLASSE,"Planejada"))</f>
        <v/>
      </c>
      <c r="H90" s="15">
        <f>IF($B90="","",E90-F90-G90)</f>
        <v/>
      </c>
      <c r="I90" s="15">
        <f>IF($B90="","",SUMIFS(AP_DUR,AP_DATA,$B90,AP_TURNO,$C90,AP_EQ,$D90,AP_CLASSE,"Não planejada"))</f>
        <v/>
      </c>
      <c r="J90" s="15">
        <f>IF($B90="","",H90-I90)</f>
        <v/>
      </c>
      <c r="K90" s="6">
        <f>IF($B90="","",IF(I90&gt;H90,"ERRO",""))</f>
        <v/>
      </c>
      <c r="L90" s="18">
        <f>IF($B90="","",IFERROR(J90/H90,""))</f>
        <v/>
      </c>
      <c r="M90" s="15">
        <f>IF($B90="","",VLOOKUP($D90,CAD,3,FALSE))</f>
        <v/>
      </c>
      <c r="N90" s="19">
        <f>IF($B90="","",INDEX(AP_PROD,MATCH($A90,AP_FECH,0)))</f>
        <v/>
      </c>
      <c r="O90" s="19">
        <f>IF($B90="","",J90*M90)</f>
        <v/>
      </c>
      <c r="P90" s="18">
        <f>IF($B90="","",IFERROR(N90/O90,""))</f>
        <v/>
      </c>
      <c r="Q90" s="19">
        <f>IF($B90="","",INDEX(AP_REF,MATCH($A90,AP_FECH,0)))</f>
        <v/>
      </c>
      <c r="R90" s="19">
        <f>IF($B90="","",INDEX(AP_RET,MATCH($A90,AP_FECH,0)))</f>
        <v/>
      </c>
      <c r="S90" s="19">
        <f>IF($B90="","",N90-Q90-R90)</f>
        <v/>
      </c>
      <c r="T90" s="18">
        <f>IF($B90="","",IFERROR(S90/N90,""))</f>
        <v/>
      </c>
      <c r="U90" s="18">
        <f>IF($B90="","",IFERROR(L90*P90*T90,""))</f>
        <v/>
      </c>
      <c r="V90" s="18">
        <f>IF($B90="","",IFERROR(S90/M90/H90,""))</f>
        <v/>
      </c>
      <c r="W90" s="20">
        <f>IF($B90="","",IFERROR(ROUND(U90-V90,6),""))</f>
        <v/>
      </c>
      <c r="X90" s="6">
        <f>IF($B90="","",IF(OR(K90="ERRO",W90&lt;&gt;0),"NÃO PUBLICAR",IF(P90&gt;1,"VERIFICAR: desempenho &gt; 100%","OK: as duas vias fecham")))</f>
        <v/>
      </c>
      <c r="Y90" s="15">
        <f>IF($B90="","",I90)</f>
        <v/>
      </c>
      <c r="Z90" s="15">
        <f>IF($B90="","",J90-N90/M90)</f>
        <v/>
      </c>
      <c r="AA90" s="15">
        <f>IF($B90="","",(Q90+R90)/M90)</f>
        <v/>
      </c>
      <c r="AB90" s="15">
        <f>IF($B90="","",S90/M90)</f>
        <v/>
      </c>
      <c r="AC90" s="15">
        <f>IF($B90="","",Y90+Z90+AA90+AB90)</f>
        <v/>
      </c>
      <c r="AD90" s="15">
        <f>IF($B90="","",AE90/M90)</f>
        <v/>
      </c>
      <c r="AE90" s="19">
        <f>IF($B90="","",INDEX(AP_ARR,MATCH($A90,AP_FECH,0)))</f>
        <v/>
      </c>
    </row>
    <row r="91">
      <c r="A91" s="12" t="n">
        <v>86</v>
      </c>
      <c r="B91" s="17">
        <f>IFERROR(INDEX(AP_DATA,MATCH($A91,AP_FECH,0)),"")</f>
        <v/>
      </c>
      <c r="C91" s="6">
        <f>IFERROR(INDEX(AP_TURNO,MATCH($A91,AP_FECH,0)),"")</f>
        <v/>
      </c>
      <c r="D91" s="6">
        <f>IFERROR(INDEX(AP_EQ,MATCH($A91,AP_FECH,0)),"")</f>
        <v/>
      </c>
      <c r="E91" s="12">
        <f>IF($B91="","",VLOOKUP($D91,CAD,5,FALSE))</f>
        <v/>
      </c>
      <c r="F91" s="12">
        <f>IF($B91="","",VLOOKUP($D91,CAD,5,FALSE)-VLOOKUP($D91,CAD,10,FALSE))</f>
        <v/>
      </c>
      <c r="G91" s="15">
        <f>IF($B91="","",SUMIFS(AP_DUR,AP_DATA,$B91,AP_TURNO,$C91,AP_EQ,$D91,AP_CLASSE,"Planejada"))</f>
        <v/>
      </c>
      <c r="H91" s="15">
        <f>IF($B91="","",E91-F91-G91)</f>
        <v/>
      </c>
      <c r="I91" s="15">
        <f>IF($B91="","",SUMIFS(AP_DUR,AP_DATA,$B91,AP_TURNO,$C91,AP_EQ,$D91,AP_CLASSE,"Não planejada"))</f>
        <v/>
      </c>
      <c r="J91" s="15">
        <f>IF($B91="","",H91-I91)</f>
        <v/>
      </c>
      <c r="K91" s="6">
        <f>IF($B91="","",IF(I91&gt;H91,"ERRO",""))</f>
        <v/>
      </c>
      <c r="L91" s="18">
        <f>IF($B91="","",IFERROR(J91/H91,""))</f>
        <v/>
      </c>
      <c r="M91" s="15">
        <f>IF($B91="","",VLOOKUP($D91,CAD,3,FALSE))</f>
        <v/>
      </c>
      <c r="N91" s="19">
        <f>IF($B91="","",INDEX(AP_PROD,MATCH($A91,AP_FECH,0)))</f>
        <v/>
      </c>
      <c r="O91" s="19">
        <f>IF($B91="","",J91*M91)</f>
        <v/>
      </c>
      <c r="P91" s="18">
        <f>IF($B91="","",IFERROR(N91/O91,""))</f>
        <v/>
      </c>
      <c r="Q91" s="19">
        <f>IF($B91="","",INDEX(AP_REF,MATCH($A91,AP_FECH,0)))</f>
        <v/>
      </c>
      <c r="R91" s="19">
        <f>IF($B91="","",INDEX(AP_RET,MATCH($A91,AP_FECH,0)))</f>
        <v/>
      </c>
      <c r="S91" s="19">
        <f>IF($B91="","",N91-Q91-R91)</f>
        <v/>
      </c>
      <c r="T91" s="18">
        <f>IF($B91="","",IFERROR(S91/N91,""))</f>
        <v/>
      </c>
      <c r="U91" s="18">
        <f>IF($B91="","",IFERROR(L91*P91*T91,""))</f>
        <v/>
      </c>
      <c r="V91" s="18">
        <f>IF($B91="","",IFERROR(S91/M91/H91,""))</f>
        <v/>
      </c>
      <c r="W91" s="20">
        <f>IF($B91="","",IFERROR(ROUND(U91-V91,6),""))</f>
        <v/>
      </c>
      <c r="X91" s="6">
        <f>IF($B91="","",IF(OR(K91="ERRO",W91&lt;&gt;0),"NÃO PUBLICAR",IF(P91&gt;1,"VERIFICAR: desempenho &gt; 100%","OK: as duas vias fecham")))</f>
        <v/>
      </c>
      <c r="Y91" s="15">
        <f>IF($B91="","",I91)</f>
        <v/>
      </c>
      <c r="Z91" s="15">
        <f>IF($B91="","",J91-N91/M91)</f>
        <v/>
      </c>
      <c r="AA91" s="15">
        <f>IF($B91="","",(Q91+R91)/M91)</f>
        <v/>
      </c>
      <c r="AB91" s="15">
        <f>IF($B91="","",S91/M91)</f>
        <v/>
      </c>
      <c r="AC91" s="15">
        <f>IF($B91="","",Y91+Z91+AA91+AB91)</f>
        <v/>
      </c>
      <c r="AD91" s="15">
        <f>IF($B91="","",AE91/M91)</f>
        <v/>
      </c>
      <c r="AE91" s="19">
        <f>IF($B91="","",INDEX(AP_ARR,MATCH($A91,AP_FECH,0)))</f>
        <v/>
      </c>
    </row>
    <row r="92">
      <c r="A92" s="12" t="n">
        <v>87</v>
      </c>
      <c r="B92" s="17">
        <f>IFERROR(INDEX(AP_DATA,MATCH($A92,AP_FECH,0)),"")</f>
        <v/>
      </c>
      <c r="C92" s="6">
        <f>IFERROR(INDEX(AP_TURNO,MATCH($A92,AP_FECH,0)),"")</f>
        <v/>
      </c>
      <c r="D92" s="6">
        <f>IFERROR(INDEX(AP_EQ,MATCH($A92,AP_FECH,0)),"")</f>
        <v/>
      </c>
      <c r="E92" s="12">
        <f>IF($B92="","",VLOOKUP($D92,CAD,5,FALSE))</f>
        <v/>
      </c>
      <c r="F92" s="12">
        <f>IF($B92="","",VLOOKUP($D92,CAD,5,FALSE)-VLOOKUP($D92,CAD,10,FALSE))</f>
        <v/>
      </c>
      <c r="G92" s="15">
        <f>IF($B92="","",SUMIFS(AP_DUR,AP_DATA,$B92,AP_TURNO,$C92,AP_EQ,$D92,AP_CLASSE,"Planejada"))</f>
        <v/>
      </c>
      <c r="H92" s="15">
        <f>IF($B92="","",E92-F92-G92)</f>
        <v/>
      </c>
      <c r="I92" s="15">
        <f>IF($B92="","",SUMIFS(AP_DUR,AP_DATA,$B92,AP_TURNO,$C92,AP_EQ,$D92,AP_CLASSE,"Não planejada"))</f>
        <v/>
      </c>
      <c r="J92" s="15">
        <f>IF($B92="","",H92-I92)</f>
        <v/>
      </c>
      <c r="K92" s="6">
        <f>IF($B92="","",IF(I92&gt;H92,"ERRO",""))</f>
        <v/>
      </c>
      <c r="L92" s="18">
        <f>IF($B92="","",IFERROR(J92/H92,""))</f>
        <v/>
      </c>
      <c r="M92" s="15">
        <f>IF($B92="","",VLOOKUP($D92,CAD,3,FALSE))</f>
        <v/>
      </c>
      <c r="N92" s="19">
        <f>IF($B92="","",INDEX(AP_PROD,MATCH($A92,AP_FECH,0)))</f>
        <v/>
      </c>
      <c r="O92" s="19">
        <f>IF($B92="","",J92*M92)</f>
        <v/>
      </c>
      <c r="P92" s="18">
        <f>IF($B92="","",IFERROR(N92/O92,""))</f>
        <v/>
      </c>
      <c r="Q92" s="19">
        <f>IF($B92="","",INDEX(AP_REF,MATCH($A92,AP_FECH,0)))</f>
        <v/>
      </c>
      <c r="R92" s="19">
        <f>IF($B92="","",INDEX(AP_RET,MATCH($A92,AP_FECH,0)))</f>
        <v/>
      </c>
      <c r="S92" s="19">
        <f>IF($B92="","",N92-Q92-R92)</f>
        <v/>
      </c>
      <c r="T92" s="18">
        <f>IF($B92="","",IFERROR(S92/N92,""))</f>
        <v/>
      </c>
      <c r="U92" s="18">
        <f>IF($B92="","",IFERROR(L92*P92*T92,""))</f>
        <v/>
      </c>
      <c r="V92" s="18">
        <f>IF($B92="","",IFERROR(S92/M92/H92,""))</f>
        <v/>
      </c>
      <c r="W92" s="20">
        <f>IF($B92="","",IFERROR(ROUND(U92-V92,6),""))</f>
        <v/>
      </c>
      <c r="X92" s="6">
        <f>IF($B92="","",IF(OR(K92="ERRO",W92&lt;&gt;0),"NÃO PUBLICAR",IF(P92&gt;1,"VERIFICAR: desempenho &gt; 100%","OK: as duas vias fecham")))</f>
        <v/>
      </c>
      <c r="Y92" s="15">
        <f>IF($B92="","",I92)</f>
        <v/>
      </c>
      <c r="Z92" s="15">
        <f>IF($B92="","",J92-N92/M92)</f>
        <v/>
      </c>
      <c r="AA92" s="15">
        <f>IF($B92="","",(Q92+R92)/M92)</f>
        <v/>
      </c>
      <c r="AB92" s="15">
        <f>IF($B92="","",S92/M92)</f>
        <v/>
      </c>
      <c r="AC92" s="15">
        <f>IF($B92="","",Y92+Z92+AA92+AB92)</f>
        <v/>
      </c>
      <c r="AD92" s="15">
        <f>IF($B92="","",AE92/M92)</f>
        <v/>
      </c>
      <c r="AE92" s="19">
        <f>IF($B92="","",INDEX(AP_ARR,MATCH($A92,AP_FECH,0)))</f>
        <v/>
      </c>
    </row>
    <row r="93">
      <c r="A93" s="12" t="n">
        <v>88</v>
      </c>
      <c r="B93" s="17">
        <f>IFERROR(INDEX(AP_DATA,MATCH($A93,AP_FECH,0)),"")</f>
        <v/>
      </c>
      <c r="C93" s="6">
        <f>IFERROR(INDEX(AP_TURNO,MATCH($A93,AP_FECH,0)),"")</f>
        <v/>
      </c>
      <c r="D93" s="6">
        <f>IFERROR(INDEX(AP_EQ,MATCH($A93,AP_FECH,0)),"")</f>
        <v/>
      </c>
      <c r="E93" s="12">
        <f>IF($B93="","",VLOOKUP($D93,CAD,5,FALSE))</f>
        <v/>
      </c>
      <c r="F93" s="12">
        <f>IF($B93="","",VLOOKUP($D93,CAD,5,FALSE)-VLOOKUP($D93,CAD,10,FALSE))</f>
        <v/>
      </c>
      <c r="G93" s="15">
        <f>IF($B93="","",SUMIFS(AP_DUR,AP_DATA,$B93,AP_TURNO,$C93,AP_EQ,$D93,AP_CLASSE,"Planejada"))</f>
        <v/>
      </c>
      <c r="H93" s="15">
        <f>IF($B93="","",E93-F93-G93)</f>
        <v/>
      </c>
      <c r="I93" s="15">
        <f>IF($B93="","",SUMIFS(AP_DUR,AP_DATA,$B93,AP_TURNO,$C93,AP_EQ,$D93,AP_CLASSE,"Não planejada"))</f>
        <v/>
      </c>
      <c r="J93" s="15">
        <f>IF($B93="","",H93-I93)</f>
        <v/>
      </c>
      <c r="K93" s="6">
        <f>IF($B93="","",IF(I93&gt;H93,"ERRO",""))</f>
        <v/>
      </c>
      <c r="L93" s="18">
        <f>IF($B93="","",IFERROR(J93/H93,""))</f>
        <v/>
      </c>
      <c r="M93" s="15">
        <f>IF($B93="","",VLOOKUP($D93,CAD,3,FALSE))</f>
        <v/>
      </c>
      <c r="N93" s="19">
        <f>IF($B93="","",INDEX(AP_PROD,MATCH($A93,AP_FECH,0)))</f>
        <v/>
      </c>
      <c r="O93" s="19">
        <f>IF($B93="","",J93*M93)</f>
        <v/>
      </c>
      <c r="P93" s="18">
        <f>IF($B93="","",IFERROR(N93/O93,""))</f>
        <v/>
      </c>
      <c r="Q93" s="19">
        <f>IF($B93="","",INDEX(AP_REF,MATCH($A93,AP_FECH,0)))</f>
        <v/>
      </c>
      <c r="R93" s="19">
        <f>IF($B93="","",INDEX(AP_RET,MATCH($A93,AP_FECH,0)))</f>
        <v/>
      </c>
      <c r="S93" s="19">
        <f>IF($B93="","",N93-Q93-R93)</f>
        <v/>
      </c>
      <c r="T93" s="18">
        <f>IF($B93="","",IFERROR(S93/N93,""))</f>
        <v/>
      </c>
      <c r="U93" s="18">
        <f>IF($B93="","",IFERROR(L93*P93*T93,""))</f>
        <v/>
      </c>
      <c r="V93" s="18">
        <f>IF($B93="","",IFERROR(S93/M93/H93,""))</f>
        <v/>
      </c>
      <c r="W93" s="20">
        <f>IF($B93="","",IFERROR(ROUND(U93-V93,6),""))</f>
        <v/>
      </c>
      <c r="X93" s="6">
        <f>IF($B93="","",IF(OR(K93="ERRO",W93&lt;&gt;0),"NÃO PUBLICAR",IF(P93&gt;1,"VERIFICAR: desempenho &gt; 100%","OK: as duas vias fecham")))</f>
        <v/>
      </c>
      <c r="Y93" s="15">
        <f>IF($B93="","",I93)</f>
        <v/>
      </c>
      <c r="Z93" s="15">
        <f>IF($B93="","",J93-N93/M93)</f>
        <v/>
      </c>
      <c r="AA93" s="15">
        <f>IF($B93="","",(Q93+R93)/M93)</f>
        <v/>
      </c>
      <c r="AB93" s="15">
        <f>IF($B93="","",S93/M93)</f>
        <v/>
      </c>
      <c r="AC93" s="15">
        <f>IF($B93="","",Y93+Z93+AA93+AB93)</f>
        <v/>
      </c>
      <c r="AD93" s="15">
        <f>IF($B93="","",AE93/M93)</f>
        <v/>
      </c>
      <c r="AE93" s="19">
        <f>IF($B93="","",INDEX(AP_ARR,MATCH($A93,AP_FECH,0)))</f>
        <v/>
      </c>
    </row>
    <row r="94">
      <c r="A94" s="12" t="n">
        <v>89</v>
      </c>
      <c r="B94" s="17">
        <f>IFERROR(INDEX(AP_DATA,MATCH($A94,AP_FECH,0)),"")</f>
        <v/>
      </c>
      <c r="C94" s="6">
        <f>IFERROR(INDEX(AP_TURNO,MATCH($A94,AP_FECH,0)),"")</f>
        <v/>
      </c>
      <c r="D94" s="6">
        <f>IFERROR(INDEX(AP_EQ,MATCH($A94,AP_FECH,0)),"")</f>
        <v/>
      </c>
      <c r="E94" s="12">
        <f>IF($B94="","",VLOOKUP($D94,CAD,5,FALSE))</f>
        <v/>
      </c>
      <c r="F94" s="12">
        <f>IF($B94="","",VLOOKUP($D94,CAD,5,FALSE)-VLOOKUP($D94,CAD,10,FALSE))</f>
        <v/>
      </c>
      <c r="G94" s="15">
        <f>IF($B94="","",SUMIFS(AP_DUR,AP_DATA,$B94,AP_TURNO,$C94,AP_EQ,$D94,AP_CLASSE,"Planejada"))</f>
        <v/>
      </c>
      <c r="H94" s="15">
        <f>IF($B94="","",E94-F94-G94)</f>
        <v/>
      </c>
      <c r="I94" s="15">
        <f>IF($B94="","",SUMIFS(AP_DUR,AP_DATA,$B94,AP_TURNO,$C94,AP_EQ,$D94,AP_CLASSE,"Não planejada"))</f>
        <v/>
      </c>
      <c r="J94" s="15">
        <f>IF($B94="","",H94-I94)</f>
        <v/>
      </c>
      <c r="K94" s="6">
        <f>IF($B94="","",IF(I94&gt;H94,"ERRO",""))</f>
        <v/>
      </c>
      <c r="L94" s="18">
        <f>IF($B94="","",IFERROR(J94/H94,""))</f>
        <v/>
      </c>
      <c r="M94" s="15">
        <f>IF($B94="","",VLOOKUP($D94,CAD,3,FALSE))</f>
        <v/>
      </c>
      <c r="N94" s="19">
        <f>IF($B94="","",INDEX(AP_PROD,MATCH($A94,AP_FECH,0)))</f>
        <v/>
      </c>
      <c r="O94" s="19">
        <f>IF($B94="","",J94*M94)</f>
        <v/>
      </c>
      <c r="P94" s="18">
        <f>IF($B94="","",IFERROR(N94/O94,""))</f>
        <v/>
      </c>
      <c r="Q94" s="19">
        <f>IF($B94="","",INDEX(AP_REF,MATCH($A94,AP_FECH,0)))</f>
        <v/>
      </c>
      <c r="R94" s="19">
        <f>IF($B94="","",INDEX(AP_RET,MATCH($A94,AP_FECH,0)))</f>
        <v/>
      </c>
      <c r="S94" s="19">
        <f>IF($B94="","",N94-Q94-R94)</f>
        <v/>
      </c>
      <c r="T94" s="18">
        <f>IF($B94="","",IFERROR(S94/N94,""))</f>
        <v/>
      </c>
      <c r="U94" s="18">
        <f>IF($B94="","",IFERROR(L94*P94*T94,""))</f>
        <v/>
      </c>
      <c r="V94" s="18">
        <f>IF($B94="","",IFERROR(S94/M94/H94,""))</f>
        <v/>
      </c>
      <c r="W94" s="20">
        <f>IF($B94="","",IFERROR(ROUND(U94-V94,6),""))</f>
        <v/>
      </c>
      <c r="X94" s="6">
        <f>IF($B94="","",IF(OR(K94="ERRO",W94&lt;&gt;0),"NÃO PUBLICAR",IF(P94&gt;1,"VERIFICAR: desempenho &gt; 100%","OK: as duas vias fecham")))</f>
        <v/>
      </c>
      <c r="Y94" s="15">
        <f>IF($B94="","",I94)</f>
        <v/>
      </c>
      <c r="Z94" s="15">
        <f>IF($B94="","",J94-N94/M94)</f>
        <v/>
      </c>
      <c r="AA94" s="15">
        <f>IF($B94="","",(Q94+R94)/M94)</f>
        <v/>
      </c>
      <c r="AB94" s="15">
        <f>IF($B94="","",S94/M94)</f>
        <v/>
      </c>
      <c r="AC94" s="15">
        <f>IF($B94="","",Y94+Z94+AA94+AB94)</f>
        <v/>
      </c>
      <c r="AD94" s="15">
        <f>IF($B94="","",AE94/M94)</f>
        <v/>
      </c>
      <c r="AE94" s="19">
        <f>IF($B94="","",INDEX(AP_ARR,MATCH($A94,AP_FECH,0)))</f>
        <v/>
      </c>
    </row>
    <row r="95">
      <c r="A95" s="12" t="n">
        <v>90</v>
      </c>
      <c r="B95" s="17">
        <f>IFERROR(INDEX(AP_DATA,MATCH($A95,AP_FECH,0)),"")</f>
        <v/>
      </c>
      <c r="C95" s="6">
        <f>IFERROR(INDEX(AP_TURNO,MATCH($A95,AP_FECH,0)),"")</f>
        <v/>
      </c>
      <c r="D95" s="6">
        <f>IFERROR(INDEX(AP_EQ,MATCH($A95,AP_FECH,0)),"")</f>
        <v/>
      </c>
      <c r="E95" s="12">
        <f>IF($B95="","",VLOOKUP($D95,CAD,5,FALSE))</f>
        <v/>
      </c>
      <c r="F95" s="12">
        <f>IF($B95="","",VLOOKUP($D95,CAD,5,FALSE)-VLOOKUP($D95,CAD,10,FALSE))</f>
        <v/>
      </c>
      <c r="G95" s="15">
        <f>IF($B95="","",SUMIFS(AP_DUR,AP_DATA,$B95,AP_TURNO,$C95,AP_EQ,$D95,AP_CLASSE,"Planejada"))</f>
        <v/>
      </c>
      <c r="H95" s="15">
        <f>IF($B95="","",E95-F95-G95)</f>
        <v/>
      </c>
      <c r="I95" s="15">
        <f>IF($B95="","",SUMIFS(AP_DUR,AP_DATA,$B95,AP_TURNO,$C95,AP_EQ,$D95,AP_CLASSE,"Não planejada"))</f>
        <v/>
      </c>
      <c r="J95" s="15">
        <f>IF($B95="","",H95-I95)</f>
        <v/>
      </c>
      <c r="K95" s="6">
        <f>IF($B95="","",IF(I95&gt;H95,"ERRO",""))</f>
        <v/>
      </c>
      <c r="L95" s="18">
        <f>IF($B95="","",IFERROR(J95/H95,""))</f>
        <v/>
      </c>
      <c r="M95" s="15">
        <f>IF($B95="","",VLOOKUP($D95,CAD,3,FALSE))</f>
        <v/>
      </c>
      <c r="N95" s="19">
        <f>IF($B95="","",INDEX(AP_PROD,MATCH($A95,AP_FECH,0)))</f>
        <v/>
      </c>
      <c r="O95" s="19">
        <f>IF($B95="","",J95*M95)</f>
        <v/>
      </c>
      <c r="P95" s="18">
        <f>IF($B95="","",IFERROR(N95/O95,""))</f>
        <v/>
      </c>
      <c r="Q95" s="19">
        <f>IF($B95="","",INDEX(AP_REF,MATCH($A95,AP_FECH,0)))</f>
        <v/>
      </c>
      <c r="R95" s="19">
        <f>IF($B95="","",INDEX(AP_RET,MATCH($A95,AP_FECH,0)))</f>
        <v/>
      </c>
      <c r="S95" s="19">
        <f>IF($B95="","",N95-Q95-R95)</f>
        <v/>
      </c>
      <c r="T95" s="18">
        <f>IF($B95="","",IFERROR(S95/N95,""))</f>
        <v/>
      </c>
      <c r="U95" s="18">
        <f>IF($B95="","",IFERROR(L95*P95*T95,""))</f>
        <v/>
      </c>
      <c r="V95" s="18">
        <f>IF($B95="","",IFERROR(S95/M95/H95,""))</f>
        <v/>
      </c>
      <c r="W95" s="20">
        <f>IF($B95="","",IFERROR(ROUND(U95-V95,6),""))</f>
        <v/>
      </c>
      <c r="X95" s="6">
        <f>IF($B95="","",IF(OR(K95="ERRO",W95&lt;&gt;0),"NÃO PUBLICAR",IF(P95&gt;1,"VERIFICAR: desempenho &gt; 100%","OK: as duas vias fecham")))</f>
        <v/>
      </c>
      <c r="Y95" s="15">
        <f>IF($B95="","",I95)</f>
        <v/>
      </c>
      <c r="Z95" s="15">
        <f>IF($B95="","",J95-N95/M95)</f>
        <v/>
      </c>
      <c r="AA95" s="15">
        <f>IF($B95="","",(Q95+R95)/M95)</f>
        <v/>
      </c>
      <c r="AB95" s="15">
        <f>IF($B95="","",S95/M95)</f>
        <v/>
      </c>
      <c r="AC95" s="15">
        <f>IF($B95="","",Y95+Z95+AA95+AB95)</f>
        <v/>
      </c>
      <c r="AD95" s="15">
        <f>IF($B95="","",AE95/M95)</f>
        <v/>
      </c>
      <c r="AE95" s="19">
        <f>IF($B95="","",INDEX(AP_ARR,MATCH($A95,AP_FECH,0)))</f>
        <v/>
      </c>
    </row>
    <row r="96">
      <c r="A96" s="12" t="n">
        <v>91</v>
      </c>
      <c r="B96" s="17">
        <f>IFERROR(INDEX(AP_DATA,MATCH($A96,AP_FECH,0)),"")</f>
        <v/>
      </c>
      <c r="C96" s="6">
        <f>IFERROR(INDEX(AP_TURNO,MATCH($A96,AP_FECH,0)),"")</f>
        <v/>
      </c>
      <c r="D96" s="6">
        <f>IFERROR(INDEX(AP_EQ,MATCH($A96,AP_FECH,0)),"")</f>
        <v/>
      </c>
      <c r="E96" s="12">
        <f>IF($B96="","",VLOOKUP($D96,CAD,5,FALSE))</f>
        <v/>
      </c>
      <c r="F96" s="12">
        <f>IF($B96="","",VLOOKUP($D96,CAD,5,FALSE)-VLOOKUP($D96,CAD,10,FALSE))</f>
        <v/>
      </c>
      <c r="G96" s="15">
        <f>IF($B96="","",SUMIFS(AP_DUR,AP_DATA,$B96,AP_TURNO,$C96,AP_EQ,$D96,AP_CLASSE,"Planejada"))</f>
        <v/>
      </c>
      <c r="H96" s="15">
        <f>IF($B96="","",E96-F96-G96)</f>
        <v/>
      </c>
      <c r="I96" s="15">
        <f>IF($B96="","",SUMIFS(AP_DUR,AP_DATA,$B96,AP_TURNO,$C96,AP_EQ,$D96,AP_CLASSE,"Não planejada"))</f>
        <v/>
      </c>
      <c r="J96" s="15">
        <f>IF($B96="","",H96-I96)</f>
        <v/>
      </c>
      <c r="K96" s="6">
        <f>IF($B96="","",IF(I96&gt;H96,"ERRO",""))</f>
        <v/>
      </c>
      <c r="L96" s="18">
        <f>IF($B96="","",IFERROR(J96/H96,""))</f>
        <v/>
      </c>
      <c r="M96" s="15">
        <f>IF($B96="","",VLOOKUP($D96,CAD,3,FALSE))</f>
        <v/>
      </c>
      <c r="N96" s="19">
        <f>IF($B96="","",INDEX(AP_PROD,MATCH($A96,AP_FECH,0)))</f>
        <v/>
      </c>
      <c r="O96" s="19">
        <f>IF($B96="","",J96*M96)</f>
        <v/>
      </c>
      <c r="P96" s="18">
        <f>IF($B96="","",IFERROR(N96/O96,""))</f>
        <v/>
      </c>
      <c r="Q96" s="19">
        <f>IF($B96="","",INDEX(AP_REF,MATCH($A96,AP_FECH,0)))</f>
        <v/>
      </c>
      <c r="R96" s="19">
        <f>IF($B96="","",INDEX(AP_RET,MATCH($A96,AP_FECH,0)))</f>
        <v/>
      </c>
      <c r="S96" s="19">
        <f>IF($B96="","",N96-Q96-R96)</f>
        <v/>
      </c>
      <c r="T96" s="18">
        <f>IF($B96="","",IFERROR(S96/N96,""))</f>
        <v/>
      </c>
      <c r="U96" s="18">
        <f>IF($B96="","",IFERROR(L96*P96*T96,""))</f>
        <v/>
      </c>
      <c r="V96" s="18">
        <f>IF($B96="","",IFERROR(S96/M96/H96,""))</f>
        <v/>
      </c>
      <c r="W96" s="20">
        <f>IF($B96="","",IFERROR(ROUND(U96-V96,6),""))</f>
        <v/>
      </c>
      <c r="X96" s="6">
        <f>IF($B96="","",IF(OR(K96="ERRO",W96&lt;&gt;0),"NÃO PUBLICAR",IF(P96&gt;1,"VERIFICAR: desempenho &gt; 100%","OK: as duas vias fecham")))</f>
        <v/>
      </c>
      <c r="Y96" s="15">
        <f>IF($B96="","",I96)</f>
        <v/>
      </c>
      <c r="Z96" s="15">
        <f>IF($B96="","",J96-N96/M96)</f>
        <v/>
      </c>
      <c r="AA96" s="15">
        <f>IF($B96="","",(Q96+R96)/M96)</f>
        <v/>
      </c>
      <c r="AB96" s="15">
        <f>IF($B96="","",S96/M96)</f>
        <v/>
      </c>
      <c r="AC96" s="15">
        <f>IF($B96="","",Y96+Z96+AA96+AB96)</f>
        <v/>
      </c>
      <c r="AD96" s="15">
        <f>IF($B96="","",AE96/M96)</f>
        <v/>
      </c>
      <c r="AE96" s="19">
        <f>IF($B96="","",INDEX(AP_ARR,MATCH($A96,AP_FECH,0)))</f>
        <v/>
      </c>
    </row>
    <row r="97">
      <c r="A97" s="12" t="n">
        <v>92</v>
      </c>
      <c r="B97" s="17">
        <f>IFERROR(INDEX(AP_DATA,MATCH($A97,AP_FECH,0)),"")</f>
        <v/>
      </c>
      <c r="C97" s="6">
        <f>IFERROR(INDEX(AP_TURNO,MATCH($A97,AP_FECH,0)),"")</f>
        <v/>
      </c>
      <c r="D97" s="6">
        <f>IFERROR(INDEX(AP_EQ,MATCH($A97,AP_FECH,0)),"")</f>
        <v/>
      </c>
      <c r="E97" s="12">
        <f>IF($B97="","",VLOOKUP($D97,CAD,5,FALSE))</f>
        <v/>
      </c>
      <c r="F97" s="12">
        <f>IF($B97="","",VLOOKUP($D97,CAD,5,FALSE)-VLOOKUP($D97,CAD,10,FALSE))</f>
        <v/>
      </c>
      <c r="G97" s="15">
        <f>IF($B97="","",SUMIFS(AP_DUR,AP_DATA,$B97,AP_TURNO,$C97,AP_EQ,$D97,AP_CLASSE,"Planejada"))</f>
        <v/>
      </c>
      <c r="H97" s="15">
        <f>IF($B97="","",E97-F97-G97)</f>
        <v/>
      </c>
      <c r="I97" s="15">
        <f>IF($B97="","",SUMIFS(AP_DUR,AP_DATA,$B97,AP_TURNO,$C97,AP_EQ,$D97,AP_CLASSE,"Não planejada"))</f>
        <v/>
      </c>
      <c r="J97" s="15">
        <f>IF($B97="","",H97-I97)</f>
        <v/>
      </c>
      <c r="K97" s="6">
        <f>IF($B97="","",IF(I97&gt;H97,"ERRO",""))</f>
        <v/>
      </c>
      <c r="L97" s="18">
        <f>IF($B97="","",IFERROR(J97/H97,""))</f>
        <v/>
      </c>
      <c r="M97" s="15">
        <f>IF($B97="","",VLOOKUP($D97,CAD,3,FALSE))</f>
        <v/>
      </c>
      <c r="N97" s="19">
        <f>IF($B97="","",INDEX(AP_PROD,MATCH($A97,AP_FECH,0)))</f>
        <v/>
      </c>
      <c r="O97" s="19">
        <f>IF($B97="","",J97*M97)</f>
        <v/>
      </c>
      <c r="P97" s="18">
        <f>IF($B97="","",IFERROR(N97/O97,""))</f>
        <v/>
      </c>
      <c r="Q97" s="19">
        <f>IF($B97="","",INDEX(AP_REF,MATCH($A97,AP_FECH,0)))</f>
        <v/>
      </c>
      <c r="R97" s="19">
        <f>IF($B97="","",INDEX(AP_RET,MATCH($A97,AP_FECH,0)))</f>
        <v/>
      </c>
      <c r="S97" s="19">
        <f>IF($B97="","",N97-Q97-R97)</f>
        <v/>
      </c>
      <c r="T97" s="18">
        <f>IF($B97="","",IFERROR(S97/N97,""))</f>
        <v/>
      </c>
      <c r="U97" s="18">
        <f>IF($B97="","",IFERROR(L97*P97*T97,""))</f>
        <v/>
      </c>
      <c r="V97" s="18">
        <f>IF($B97="","",IFERROR(S97/M97/H97,""))</f>
        <v/>
      </c>
      <c r="W97" s="20">
        <f>IF($B97="","",IFERROR(ROUND(U97-V97,6),""))</f>
        <v/>
      </c>
      <c r="X97" s="6">
        <f>IF($B97="","",IF(OR(K97="ERRO",W97&lt;&gt;0),"NÃO PUBLICAR",IF(P97&gt;1,"VERIFICAR: desempenho &gt; 100%","OK: as duas vias fecham")))</f>
        <v/>
      </c>
      <c r="Y97" s="15">
        <f>IF($B97="","",I97)</f>
        <v/>
      </c>
      <c r="Z97" s="15">
        <f>IF($B97="","",J97-N97/M97)</f>
        <v/>
      </c>
      <c r="AA97" s="15">
        <f>IF($B97="","",(Q97+R97)/M97)</f>
        <v/>
      </c>
      <c r="AB97" s="15">
        <f>IF($B97="","",S97/M97)</f>
        <v/>
      </c>
      <c r="AC97" s="15">
        <f>IF($B97="","",Y97+Z97+AA97+AB97)</f>
        <v/>
      </c>
      <c r="AD97" s="15">
        <f>IF($B97="","",AE97/M97)</f>
        <v/>
      </c>
      <c r="AE97" s="19">
        <f>IF($B97="","",INDEX(AP_ARR,MATCH($A97,AP_FECH,0)))</f>
        <v/>
      </c>
    </row>
    <row r="98">
      <c r="A98" s="12" t="n">
        <v>93</v>
      </c>
      <c r="B98" s="17">
        <f>IFERROR(INDEX(AP_DATA,MATCH($A98,AP_FECH,0)),"")</f>
        <v/>
      </c>
      <c r="C98" s="6">
        <f>IFERROR(INDEX(AP_TURNO,MATCH($A98,AP_FECH,0)),"")</f>
        <v/>
      </c>
      <c r="D98" s="6">
        <f>IFERROR(INDEX(AP_EQ,MATCH($A98,AP_FECH,0)),"")</f>
        <v/>
      </c>
      <c r="E98" s="12">
        <f>IF($B98="","",VLOOKUP($D98,CAD,5,FALSE))</f>
        <v/>
      </c>
      <c r="F98" s="12">
        <f>IF($B98="","",VLOOKUP($D98,CAD,5,FALSE)-VLOOKUP($D98,CAD,10,FALSE))</f>
        <v/>
      </c>
      <c r="G98" s="15">
        <f>IF($B98="","",SUMIFS(AP_DUR,AP_DATA,$B98,AP_TURNO,$C98,AP_EQ,$D98,AP_CLASSE,"Planejada"))</f>
        <v/>
      </c>
      <c r="H98" s="15">
        <f>IF($B98="","",E98-F98-G98)</f>
        <v/>
      </c>
      <c r="I98" s="15">
        <f>IF($B98="","",SUMIFS(AP_DUR,AP_DATA,$B98,AP_TURNO,$C98,AP_EQ,$D98,AP_CLASSE,"Não planejada"))</f>
        <v/>
      </c>
      <c r="J98" s="15">
        <f>IF($B98="","",H98-I98)</f>
        <v/>
      </c>
      <c r="K98" s="6">
        <f>IF($B98="","",IF(I98&gt;H98,"ERRO",""))</f>
        <v/>
      </c>
      <c r="L98" s="18">
        <f>IF($B98="","",IFERROR(J98/H98,""))</f>
        <v/>
      </c>
      <c r="M98" s="15">
        <f>IF($B98="","",VLOOKUP($D98,CAD,3,FALSE))</f>
        <v/>
      </c>
      <c r="N98" s="19">
        <f>IF($B98="","",INDEX(AP_PROD,MATCH($A98,AP_FECH,0)))</f>
        <v/>
      </c>
      <c r="O98" s="19">
        <f>IF($B98="","",J98*M98)</f>
        <v/>
      </c>
      <c r="P98" s="18">
        <f>IF($B98="","",IFERROR(N98/O98,""))</f>
        <v/>
      </c>
      <c r="Q98" s="19">
        <f>IF($B98="","",INDEX(AP_REF,MATCH($A98,AP_FECH,0)))</f>
        <v/>
      </c>
      <c r="R98" s="19">
        <f>IF($B98="","",INDEX(AP_RET,MATCH($A98,AP_FECH,0)))</f>
        <v/>
      </c>
      <c r="S98" s="19">
        <f>IF($B98="","",N98-Q98-R98)</f>
        <v/>
      </c>
      <c r="T98" s="18">
        <f>IF($B98="","",IFERROR(S98/N98,""))</f>
        <v/>
      </c>
      <c r="U98" s="18">
        <f>IF($B98="","",IFERROR(L98*P98*T98,""))</f>
        <v/>
      </c>
      <c r="V98" s="18">
        <f>IF($B98="","",IFERROR(S98/M98/H98,""))</f>
        <v/>
      </c>
      <c r="W98" s="20">
        <f>IF($B98="","",IFERROR(ROUND(U98-V98,6),""))</f>
        <v/>
      </c>
      <c r="X98" s="6">
        <f>IF($B98="","",IF(OR(K98="ERRO",W98&lt;&gt;0),"NÃO PUBLICAR",IF(P98&gt;1,"VERIFICAR: desempenho &gt; 100%","OK: as duas vias fecham")))</f>
        <v/>
      </c>
      <c r="Y98" s="15">
        <f>IF($B98="","",I98)</f>
        <v/>
      </c>
      <c r="Z98" s="15">
        <f>IF($B98="","",J98-N98/M98)</f>
        <v/>
      </c>
      <c r="AA98" s="15">
        <f>IF($B98="","",(Q98+R98)/M98)</f>
        <v/>
      </c>
      <c r="AB98" s="15">
        <f>IF($B98="","",S98/M98)</f>
        <v/>
      </c>
      <c r="AC98" s="15">
        <f>IF($B98="","",Y98+Z98+AA98+AB98)</f>
        <v/>
      </c>
      <c r="AD98" s="15">
        <f>IF($B98="","",AE98/M98)</f>
        <v/>
      </c>
      <c r="AE98" s="19">
        <f>IF($B98="","",INDEX(AP_ARR,MATCH($A98,AP_FECH,0)))</f>
        <v/>
      </c>
    </row>
    <row r="99">
      <c r="A99" s="12" t="n">
        <v>94</v>
      </c>
      <c r="B99" s="17">
        <f>IFERROR(INDEX(AP_DATA,MATCH($A99,AP_FECH,0)),"")</f>
        <v/>
      </c>
      <c r="C99" s="6">
        <f>IFERROR(INDEX(AP_TURNO,MATCH($A99,AP_FECH,0)),"")</f>
        <v/>
      </c>
      <c r="D99" s="6">
        <f>IFERROR(INDEX(AP_EQ,MATCH($A99,AP_FECH,0)),"")</f>
        <v/>
      </c>
      <c r="E99" s="12">
        <f>IF($B99="","",VLOOKUP($D99,CAD,5,FALSE))</f>
        <v/>
      </c>
      <c r="F99" s="12">
        <f>IF($B99="","",VLOOKUP($D99,CAD,5,FALSE)-VLOOKUP($D99,CAD,10,FALSE))</f>
        <v/>
      </c>
      <c r="G99" s="15">
        <f>IF($B99="","",SUMIFS(AP_DUR,AP_DATA,$B99,AP_TURNO,$C99,AP_EQ,$D99,AP_CLASSE,"Planejada"))</f>
        <v/>
      </c>
      <c r="H99" s="15">
        <f>IF($B99="","",E99-F99-G99)</f>
        <v/>
      </c>
      <c r="I99" s="15">
        <f>IF($B99="","",SUMIFS(AP_DUR,AP_DATA,$B99,AP_TURNO,$C99,AP_EQ,$D99,AP_CLASSE,"Não planejada"))</f>
        <v/>
      </c>
      <c r="J99" s="15">
        <f>IF($B99="","",H99-I99)</f>
        <v/>
      </c>
      <c r="K99" s="6">
        <f>IF($B99="","",IF(I99&gt;H99,"ERRO",""))</f>
        <v/>
      </c>
      <c r="L99" s="18">
        <f>IF($B99="","",IFERROR(J99/H99,""))</f>
        <v/>
      </c>
      <c r="M99" s="15">
        <f>IF($B99="","",VLOOKUP($D99,CAD,3,FALSE))</f>
        <v/>
      </c>
      <c r="N99" s="19">
        <f>IF($B99="","",INDEX(AP_PROD,MATCH($A99,AP_FECH,0)))</f>
        <v/>
      </c>
      <c r="O99" s="19">
        <f>IF($B99="","",J99*M99)</f>
        <v/>
      </c>
      <c r="P99" s="18">
        <f>IF($B99="","",IFERROR(N99/O99,""))</f>
        <v/>
      </c>
      <c r="Q99" s="19">
        <f>IF($B99="","",INDEX(AP_REF,MATCH($A99,AP_FECH,0)))</f>
        <v/>
      </c>
      <c r="R99" s="19">
        <f>IF($B99="","",INDEX(AP_RET,MATCH($A99,AP_FECH,0)))</f>
        <v/>
      </c>
      <c r="S99" s="19">
        <f>IF($B99="","",N99-Q99-R99)</f>
        <v/>
      </c>
      <c r="T99" s="18">
        <f>IF($B99="","",IFERROR(S99/N99,""))</f>
        <v/>
      </c>
      <c r="U99" s="18">
        <f>IF($B99="","",IFERROR(L99*P99*T99,""))</f>
        <v/>
      </c>
      <c r="V99" s="18">
        <f>IF($B99="","",IFERROR(S99/M99/H99,""))</f>
        <v/>
      </c>
      <c r="W99" s="20">
        <f>IF($B99="","",IFERROR(ROUND(U99-V99,6),""))</f>
        <v/>
      </c>
      <c r="X99" s="6">
        <f>IF($B99="","",IF(OR(K99="ERRO",W99&lt;&gt;0),"NÃO PUBLICAR",IF(P99&gt;1,"VERIFICAR: desempenho &gt; 100%","OK: as duas vias fecham")))</f>
        <v/>
      </c>
      <c r="Y99" s="15">
        <f>IF($B99="","",I99)</f>
        <v/>
      </c>
      <c r="Z99" s="15">
        <f>IF($B99="","",J99-N99/M99)</f>
        <v/>
      </c>
      <c r="AA99" s="15">
        <f>IF($B99="","",(Q99+R99)/M99)</f>
        <v/>
      </c>
      <c r="AB99" s="15">
        <f>IF($B99="","",S99/M99)</f>
        <v/>
      </c>
      <c r="AC99" s="15">
        <f>IF($B99="","",Y99+Z99+AA99+AB99)</f>
        <v/>
      </c>
      <c r="AD99" s="15">
        <f>IF($B99="","",AE99/M99)</f>
        <v/>
      </c>
      <c r="AE99" s="19">
        <f>IF($B99="","",INDEX(AP_ARR,MATCH($A99,AP_FECH,0)))</f>
        <v/>
      </c>
    </row>
    <row r="100">
      <c r="A100" s="12" t="n">
        <v>95</v>
      </c>
      <c r="B100" s="17">
        <f>IFERROR(INDEX(AP_DATA,MATCH($A100,AP_FECH,0)),"")</f>
        <v/>
      </c>
      <c r="C100" s="6">
        <f>IFERROR(INDEX(AP_TURNO,MATCH($A100,AP_FECH,0)),"")</f>
        <v/>
      </c>
      <c r="D100" s="6">
        <f>IFERROR(INDEX(AP_EQ,MATCH($A100,AP_FECH,0)),"")</f>
        <v/>
      </c>
      <c r="E100" s="12">
        <f>IF($B100="","",VLOOKUP($D100,CAD,5,FALSE))</f>
        <v/>
      </c>
      <c r="F100" s="12">
        <f>IF($B100="","",VLOOKUP($D100,CAD,5,FALSE)-VLOOKUP($D100,CAD,10,FALSE))</f>
        <v/>
      </c>
      <c r="G100" s="15">
        <f>IF($B100="","",SUMIFS(AP_DUR,AP_DATA,$B100,AP_TURNO,$C100,AP_EQ,$D100,AP_CLASSE,"Planejada"))</f>
        <v/>
      </c>
      <c r="H100" s="15">
        <f>IF($B100="","",E100-F100-G100)</f>
        <v/>
      </c>
      <c r="I100" s="15">
        <f>IF($B100="","",SUMIFS(AP_DUR,AP_DATA,$B100,AP_TURNO,$C100,AP_EQ,$D100,AP_CLASSE,"Não planejada"))</f>
        <v/>
      </c>
      <c r="J100" s="15">
        <f>IF($B100="","",H100-I100)</f>
        <v/>
      </c>
      <c r="K100" s="6">
        <f>IF($B100="","",IF(I100&gt;H100,"ERRO",""))</f>
        <v/>
      </c>
      <c r="L100" s="18">
        <f>IF($B100="","",IFERROR(J100/H100,""))</f>
        <v/>
      </c>
      <c r="M100" s="15">
        <f>IF($B100="","",VLOOKUP($D100,CAD,3,FALSE))</f>
        <v/>
      </c>
      <c r="N100" s="19">
        <f>IF($B100="","",INDEX(AP_PROD,MATCH($A100,AP_FECH,0)))</f>
        <v/>
      </c>
      <c r="O100" s="19">
        <f>IF($B100="","",J100*M100)</f>
        <v/>
      </c>
      <c r="P100" s="18">
        <f>IF($B100="","",IFERROR(N100/O100,""))</f>
        <v/>
      </c>
      <c r="Q100" s="19">
        <f>IF($B100="","",INDEX(AP_REF,MATCH($A100,AP_FECH,0)))</f>
        <v/>
      </c>
      <c r="R100" s="19">
        <f>IF($B100="","",INDEX(AP_RET,MATCH($A100,AP_FECH,0)))</f>
        <v/>
      </c>
      <c r="S100" s="19">
        <f>IF($B100="","",N100-Q100-R100)</f>
        <v/>
      </c>
      <c r="T100" s="18">
        <f>IF($B100="","",IFERROR(S100/N100,""))</f>
        <v/>
      </c>
      <c r="U100" s="18">
        <f>IF($B100="","",IFERROR(L100*P100*T100,""))</f>
        <v/>
      </c>
      <c r="V100" s="18">
        <f>IF($B100="","",IFERROR(S100/M100/H100,""))</f>
        <v/>
      </c>
      <c r="W100" s="20">
        <f>IF($B100="","",IFERROR(ROUND(U100-V100,6),""))</f>
        <v/>
      </c>
      <c r="X100" s="6">
        <f>IF($B100="","",IF(OR(K100="ERRO",W100&lt;&gt;0),"NÃO PUBLICAR",IF(P100&gt;1,"VERIFICAR: desempenho &gt; 100%","OK: as duas vias fecham")))</f>
        <v/>
      </c>
      <c r="Y100" s="15">
        <f>IF($B100="","",I100)</f>
        <v/>
      </c>
      <c r="Z100" s="15">
        <f>IF($B100="","",J100-N100/M100)</f>
        <v/>
      </c>
      <c r="AA100" s="15">
        <f>IF($B100="","",(Q100+R100)/M100)</f>
        <v/>
      </c>
      <c r="AB100" s="15">
        <f>IF($B100="","",S100/M100)</f>
        <v/>
      </c>
      <c r="AC100" s="15">
        <f>IF($B100="","",Y100+Z100+AA100+AB100)</f>
        <v/>
      </c>
      <c r="AD100" s="15">
        <f>IF($B100="","",AE100/M100)</f>
        <v/>
      </c>
      <c r="AE100" s="19">
        <f>IF($B100="","",INDEX(AP_ARR,MATCH($A100,AP_FECH,0)))</f>
        <v/>
      </c>
    </row>
    <row r="101">
      <c r="A101" s="12" t="n">
        <v>96</v>
      </c>
      <c r="B101" s="17">
        <f>IFERROR(INDEX(AP_DATA,MATCH($A101,AP_FECH,0)),"")</f>
        <v/>
      </c>
      <c r="C101" s="6">
        <f>IFERROR(INDEX(AP_TURNO,MATCH($A101,AP_FECH,0)),"")</f>
        <v/>
      </c>
      <c r="D101" s="6">
        <f>IFERROR(INDEX(AP_EQ,MATCH($A101,AP_FECH,0)),"")</f>
        <v/>
      </c>
      <c r="E101" s="12">
        <f>IF($B101="","",VLOOKUP($D101,CAD,5,FALSE))</f>
        <v/>
      </c>
      <c r="F101" s="12">
        <f>IF($B101="","",VLOOKUP($D101,CAD,5,FALSE)-VLOOKUP($D101,CAD,10,FALSE))</f>
        <v/>
      </c>
      <c r="G101" s="15">
        <f>IF($B101="","",SUMIFS(AP_DUR,AP_DATA,$B101,AP_TURNO,$C101,AP_EQ,$D101,AP_CLASSE,"Planejada"))</f>
        <v/>
      </c>
      <c r="H101" s="15">
        <f>IF($B101="","",E101-F101-G101)</f>
        <v/>
      </c>
      <c r="I101" s="15">
        <f>IF($B101="","",SUMIFS(AP_DUR,AP_DATA,$B101,AP_TURNO,$C101,AP_EQ,$D101,AP_CLASSE,"Não planejada"))</f>
        <v/>
      </c>
      <c r="J101" s="15">
        <f>IF($B101="","",H101-I101)</f>
        <v/>
      </c>
      <c r="K101" s="6">
        <f>IF($B101="","",IF(I101&gt;H101,"ERRO",""))</f>
        <v/>
      </c>
      <c r="L101" s="18">
        <f>IF($B101="","",IFERROR(J101/H101,""))</f>
        <v/>
      </c>
      <c r="M101" s="15">
        <f>IF($B101="","",VLOOKUP($D101,CAD,3,FALSE))</f>
        <v/>
      </c>
      <c r="N101" s="19">
        <f>IF($B101="","",INDEX(AP_PROD,MATCH($A101,AP_FECH,0)))</f>
        <v/>
      </c>
      <c r="O101" s="19">
        <f>IF($B101="","",J101*M101)</f>
        <v/>
      </c>
      <c r="P101" s="18">
        <f>IF($B101="","",IFERROR(N101/O101,""))</f>
        <v/>
      </c>
      <c r="Q101" s="19">
        <f>IF($B101="","",INDEX(AP_REF,MATCH($A101,AP_FECH,0)))</f>
        <v/>
      </c>
      <c r="R101" s="19">
        <f>IF($B101="","",INDEX(AP_RET,MATCH($A101,AP_FECH,0)))</f>
        <v/>
      </c>
      <c r="S101" s="19">
        <f>IF($B101="","",N101-Q101-R101)</f>
        <v/>
      </c>
      <c r="T101" s="18">
        <f>IF($B101="","",IFERROR(S101/N101,""))</f>
        <v/>
      </c>
      <c r="U101" s="18">
        <f>IF($B101="","",IFERROR(L101*P101*T101,""))</f>
        <v/>
      </c>
      <c r="V101" s="18">
        <f>IF($B101="","",IFERROR(S101/M101/H101,""))</f>
        <v/>
      </c>
      <c r="W101" s="20">
        <f>IF($B101="","",IFERROR(ROUND(U101-V101,6),""))</f>
        <v/>
      </c>
      <c r="X101" s="6">
        <f>IF($B101="","",IF(OR(K101="ERRO",W101&lt;&gt;0),"NÃO PUBLICAR",IF(P101&gt;1,"VERIFICAR: desempenho &gt; 100%","OK: as duas vias fecham")))</f>
        <v/>
      </c>
      <c r="Y101" s="15">
        <f>IF($B101="","",I101)</f>
        <v/>
      </c>
      <c r="Z101" s="15">
        <f>IF($B101="","",J101-N101/M101)</f>
        <v/>
      </c>
      <c r="AA101" s="15">
        <f>IF($B101="","",(Q101+R101)/M101)</f>
        <v/>
      </c>
      <c r="AB101" s="15">
        <f>IF($B101="","",S101/M101)</f>
        <v/>
      </c>
      <c r="AC101" s="15">
        <f>IF($B101="","",Y101+Z101+AA101+AB101)</f>
        <v/>
      </c>
      <c r="AD101" s="15">
        <f>IF($B101="","",AE101/M101)</f>
        <v/>
      </c>
      <c r="AE101" s="19">
        <f>IF($B101="","",INDEX(AP_ARR,MATCH($A101,AP_FECH,0)))</f>
        <v/>
      </c>
    </row>
    <row r="102">
      <c r="A102" s="12" t="n">
        <v>97</v>
      </c>
      <c r="B102" s="17">
        <f>IFERROR(INDEX(AP_DATA,MATCH($A102,AP_FECH,0)),"")</f>
        <v/>
      </c>
      <c r="C102" s="6">
        <f>IFERROR(INDEX(AP_TURNO,MATCH($A102,AP_FECH,0)),"")</f>
        <v/>
      </c>
      <c r="D102" s="6">
        <f>IFERROR(INDEX(AP_EQ,MATCH($A102,AP_FECH,0)),"")</f>
        <v/>
      </c>
      <c r="E102" s="12">
        <f>IF($B102="","",VLOOKUP($D102,CAD,5,FALSE))</f>
        <v/>
      </c>
      <c r="F102" s="12">
        <f>IF($B102="","",VLOOKUP($D102,CAD,5,FALSE)-VLOOKUP($D102,CAD,10,FALSE))</f>
        <v/>
      </c>
      <c r="G102" s="15">
        <f>IF($B102="","",SUMIFS(AP_DUR,AP_DATA,$B102,AP_TURNO,$C102,AP_EQ,$D102,AP_CLASSE,"Planejada"))</f>
        <v/>
      </c>
      <c r="H102" s="15">
        <f>IF($B102="","",E102-F102-G102)</f>
        <v/>
      </c>
      <c r="I102" s="15">
        <f>IF($B102="","",SUMIFS(AP_DUR,AP_DATA,$B102,AP_TURNO,$C102,AP_EQ,$D102,AP_CLASSE,"Não planejada"))</f>
        <v/>
      </c>
      <c r="J102" s="15">
        <f>IF($B102="","",H102-I102)</f>
        <v/>
      </c>
      <c r="K102" s="6">
        <f>IF($B102="","",IF(I102&gt;H102,"ERRO",""))</f>
        <v/>
      </c>
      <c r="L102" s="18">
        <f>IF($B102="","",IFERROR(J102/H102,""))</f>
        <v/>
      </c>
      <c r="M102" s="15">
        <f>IF($B102="","",VLOOKUP($D102,CAD,3,FALSE))</f>
        <v/>
      </c>
      <c r="N102" s="19">
        <f>IF($B102="","",INDEX(AP_PROD,MATCH($A102,AP_FECH,0)))</f>
        <v/>
      </c>
      <c r="O102" s="19">
        <f>IF($B102="","",J102*M102)</f>
        <v/>
      </c>
      <c r="P102" s="18">
        <f>IF($B102="","",IFERROR(N102/O102,""))</f>
        <v/>
      </c>
      <c r="Q102" s="19">
        <f>IF($B102="","",INDEX(AP_REF,MATCH($A102,AP_FECH,0)))</f>
        <v/>
      </c>
      <c r="R102" s="19">
        <f>IF($B102="","",INDEX(AP_RET,MATCH($A102,AP_FECH,0)))</f>
        <v/>
      </c>
      <c r="S102" s="19">
        <f>IF($B102="","",N102-Q102-R102)</f>
        <v/>
      </c>
      <c r="T102" s="18">
        <f>IF($B102="","",IFERROR(S102/N102,""))</f>
        <v/>
      </c>
      <c r="U102" s="18">
        <f>IF($B102="","",IFERROR(L102*P102*T102,""))</f>
        <v/>
      </c>
      <c r="V102" s="18">
        <f>IF($B102="","",IFERROR(S102/M102/H102,""))</f>
        <v/>
      </c>
      <c r="W102" s="20">
        <f>IF($B102="","",IFERROR(ROUND(U102-V102,6),""))</f>
        <v/>
      </c>
      <c r="X102" s="6">
        <f>IF($B102="","",IF(OR(K102="ERRO",W102&lt;&gt;0),"NÃO PUBLICAR",IF(P102&gt;1,"VERIFICAR: desempenho &gt; 100%","OK: as duas vias fecham")))</f>
        <v/>
      </c>
      <c r="Y102" s="15">
        <f>IF($B102="","",I102)</f>
        <v/>
      </c>
      <c r="Z102" s="15">
        <f>IF($B102="","",J102-N102/M102)</f>
        <v/>
      </c>
      <c r="AA102" s="15">
        <f>IF($B102="","",(Q102+R102)/M102)</f>
        <v/>
      </c>
      <c r="AB102" s="15">
        <f>IF($B102="","",S102/M102)</f>
        <v/>
      </c>
      <c r="AC102" s="15">
        <f>IF($B102="","",Y102+Z102+AA102+AB102)</f>
        <v/>
      </c>
      <c r="AD102" s="15">
        <f>IF($B102="","",AE102/M102)</f>
        <v/>
      </c>
      <c r="AE102" s="19">
        <f>IF($B102="","",INDEX(AP_ARR,MATCH($A102,AP_FECH,0)))</f>
        <v/>
      </c>
    </row>
    <row r="103">
      <c r="A103" s="12" t="n">
        <v>98</v>
      </c>
      <c r="B103" s="17">
        <f>IFERROR(INDEX(AP_DATA,MATCH($A103,AP_FECH,0)),"")</f>
        <v/>
      </c>
      <c r="C103" s="6">
        <f>IFERROR(INDEX(AP_TURNO,MATCH($A103,AP_FECH,0)),"")</f>
        <v/>
      </c>
      <c r="D103" s="6">
        <f>IFERROR(INDEX(AP_EQ,MATCH($A103,AP_FECH,0)),"")</f>
        <v/>
      </c>
      <c r="E103" s="12">
        <f>IF($B103="","",VLOOKUP($D103,CAD,5,FALSE))</f>
        <v/>
      </c>
      <c r="F103" s="12">
        <f>IF($B103="","",VLOOKUP($D103,CAD,5,FALSE)-VLOOKUP($D103,CAD,10,FALSE))</f>
        <v/>
      </c>
      <c r="G103" s="15">
        <f>IF($B103="","",SUMIFS(AP_DUR,AP_DATA,$B103,AP_TURNO,$C103,AP_EQ,$D103,AP_CLASSE,"Planejada"))</f>
        <v/>
      </c>
      <c r="H103" s="15">
        <f>IF($B103="","",E103-F103-G103)</f>
        <v/>
      </c>
      <c r="I103" s="15">
        <f>IF($B103="","",SUMIFS(AP_DUR,AP_DATA,$B103,AP_TURNO,$C103,AP_EQ,$D103,AP_CLASSE,"Não planejada"))</f>
        <v/>
      </c>
      <c r="J103" s="15">
        <f>IF($B103="","",H103-I103)</f>
        <v/>
      </c>
      <c r="K103" s="6">
        <f>IF($B103="","",IF(I103&gt;H103,"ERRO",""))</f>
        <v/>
      </c>
      <c r="L103" s="18">
        <f>IF($B103="","",IFERROR(J103/H103,""))</f>
        <v/>
      </c>
      <c r="M103" s="15">
        <f>IF($B103="","",VLOOKUP($D103,CAD,3,FALSE))</f>
        <v/>
      </c>
      <c r="N103" s="19">
        <f>IF($B103="","",INDEX(AP_PROD,MATCH($A103,AP_FECH,0)))</f>
        <v/>
      </c>
      <c r="O103" s="19">
        <f>IF($B103="","",J103*M103)</f>
        <v/>
      </c>
      <c r="P103" s="18">
        <f>IF($B103="","",IFERROR(N103/O103,""))</f>
        <v/>
      </c>
      <c r="Q103" s="19">
        <f>IF($B103="","",INDEX(AP_REF,MATCH($A103,AP_FECH,0)))</f>
        <v/>
      </c>
      <c r="R103" s="19">
        <f>IF($B103="","",INDEX(AP_RET,MATCH($A103,AP_FECH,0)))</f>
        <v/>
      </c>
      <c r="S103" s="19">
        <f>IF($B103="","",N103-Q103-R103)</f>
        <v/>
      </c>
      <c r="T103" s="18">
        <f>IF($B103="","",IFERROR(S103/N103,""))</f>
        <v/>
      </c>
      <c r="U103" s="18">
        <f>IF($B103="","",IFERROR(L103*P103*T103,""))</f>
        <v/>
      </c>
      <c r="V103" s="18">
        <f>IF($B103="","",IFERROR(S103/M103/H103,""))</f>
        <v/>
      </c>
      <c r="W103" s="20">
        <f>IF($B103="","",IFERROR(ROUND(U103-V103,6),""))</f>
        <v/>
      </c>
      <c r="X103" s="6">
        <f>IF($B103="","",IF(OR(K103="ERRO",W103&lt;&gt;0),"NÃO PUBLICAR",IF(P103&gt;1,"VERIFICAR: desempenho &gt; 100%","OK: as duas vias fecham")))</f>
        <v/>
      </c>
      <c r="Y103" s="15">
        <f>IF($B103="","",I103)</f>
        <v/>
      </c>
      <c r="Z103" s="15">
        <f>IF($B103="","",J103-N103/M103)</f>
        <v/>
      </c>
      <c r="AA103" s="15">
        <f>IF($B103="","",(Q103+R103)/M103)</f>
        <v/>
      </c>
      <c r="AB103" s="15">
        <f>IF($B103="","",S103/M103)</f>
        <v/>
      </c>
      <c r="AC103" s="15">
        <f>IF($B103="","",Y103+Z103+AA103+AB103)</f>
        <v/>
      </c>
      <c r="AD103" s="15">
        <f>IF($B103="","",AE103/M103)</f>
        <v/>
      </c>
      <c r="AE103" s="19">
        <f>IF($B103="","",INDEX(AP_ARR,MATCH($A103,AP_FECH,0)))</f>
        <v/>
      </c>
    </row>
    <row r="104">
      <c r="A104" s="12" t="n">
        <v>99</v>
      </c>
      <c r="B104" s="17">
        <f>IFERROR(INDEX(AP_DATA,MATCH($A104,AP_FECH,0)),"")</f>
        <v/>
      </c>
      <c r="C104" s="6">
        <f>IFERROR(INDEX(AP_TURNO,MATCH($A104,AP_FECH,0)),"")</f>
        <v/>
      </c>
      <c r="D104" s="6">
        <f>IFERROR(INDEX(AP_EQ,MATCH($A104,AP_FECH,0)),"")</f>
        <v/>
      </c>
      <c r="E104" s="12">
        <f>IF($B104="","",VLOOKUP($D104,CAD,5,FALSE))</f>
        <v/>
      </c>
      <c r="F104" s="12">
        <f>IF($B104="","",VLOOKUP($D104,CAD,5,FALSE)-VLOOKUP($D104,CAD,10,FALSE))</f>
        <v/>
      </c>
      <c r="G104" s="15">
        <f>IF($B104="","",SUMIFS(AP_DUR,AP_DATA,$B104,AP_TURNO,$C104,AP_EQ,$D104,AP_CLASSE,"Planejada"))</f>
        <v/>
      </c>
      <c r="H104" s="15">
        <f>IF($B104="","",E104-F104-G104)</f>
        <v/>
      </c>
      <c r="I104" s="15">
        <f>IF($B104="","",SUMIFS(AP_DUR,AP_DATA,$B104,AP_TURNO,$C104,AP_EQ,$D104,AP_CLASSE,"Não planejada"))</f>
        <v/>
      </c>
      <c r="J104" s="15">
        <f>IF($B104="","",H104-I104)</f>
        <v/>
      </c>
      <c r="K104" s="6">
        <f>IF($B104="","",IF(I104&gt;H104,"ERRO",""))</f>
        <v/>
      </c>
      <c r="L104" s="18">
        <f>IF($B104="","",IFERROR(J104/H104,""))</f>
        <v/>
      </c>
      <c r="M104" s="15">
        <f>IF($B104="","",VLOOKUP($D104,CAD,3,FALSE))</f>
        <v/>
      </c>
      <c r="N104" s="19">
        <f>IF($B104="","",INDEX(AP_PROD,MATCH($A104,AP_FECH,0)))</f>
        <v/>
      </c>
      <c r="O104" s="19">
        <f>IF($B104="","",J104*M104)</f>
        <v/>
      </c>
      <c r="P104" s="18">
        <f>IF($B104="","",IFERROR(N104/O104,""))</f>
        <v/>
      </c>
      <c r="Q104" s="19">
        <f>IF($B104="","",INDEX(AP_REF,MATCH($A104,AP_FECH,0)))</f>
        <v/>
      </c>
      <c r="R104" s="19">
        <f>IF($B104="","",INDEX(AP_RET,MATCH($A104,AP_FECH,0)))</f>
        <v/>
      </c>
      <c r="S104" s="19">
        <f>IF($B104="","",N104-Q104-R104)</f>
        <v/>
      </c>
      <c r="T104" s="18">
        <f>IF($B104="","",IFERROR(S104/N104,""))</f>
        <v/>
      </c>
      <c r="U104" s="18">
        <f>IF($B104="","",IFERROR(L104*P104*T104,""))</f>
        <v/>
      </c>
      <c r="V104" s="18">
        <f>IF($B104="","",IFERROR(S104/M104/H104,""))</f>
        <v/>
      </c>
      <c r="W104" s="20">
        <f>IF($B104="","",IFERROR(ROUND(U104-V104,6),""))</f>
        <v/>
      </c>
      <c r="X104" s="6">
        <f>IF($B104="","",IF(OR(K104="ERRO",W104&lt;&gt;0),"NÃO PUBLICAR",IF(P104&gt;1,"VERIFICAR: desempenho &gt; 100%","OK: as duas vias fecham")))</f>
        <v/>
      </c>
      <c r="Y104" s="15">
        <f>IF($B104="","",I104)</f>
        <v/>
      </c>
      <c r="Z104" s="15">
        <f>IF($B104="","",J104-N104/M104)</f>
        <v/>
      </c>
      <c r="AA104" s="15">
        <f>IF($B104="","",(Q104+R104)/M104)</f>
        <v/>
      </c>
      <c r="AB104" s="15">
        <f>IF($B104="","",S104/M104)</f>
        <v/>
      </c>
      <c r="AC104" s="15">
        <f>IF($B104="","",Y104+Z104+AA104+AB104)</f>
        <v/>
      </c>
      <c r="AD104" s="15">
        <f>IF($B104="","",AE104/M104)</f>
        <v/>
      </c>
      <c r="AE104" s="19">
        <f>IF($B104="","",INDEX(AP_ARR,MATCH($A104,AP_FECH,0)))</f>
        <v/>
      </c>
    </row>
    <row r="105">
      <c r="A105" s="12" t="n">
        <v>100</v>
      </c>
      <c r="B105" s="17">
        <f>IFERROR(INDEX(AP_DATA,MATCH($A105,AP_FECH,0)),"")</f>
        <v/>
      </c>
      <c r="C105" s="6">
        <f>IFERROR(INDEX(AP_TURNO,MATCH($A105,AP_FECH,0)),"")</f>
        <v/>
      </c>
      <c r="D105" s="6">
        <f>IFERROR(INDEX(AP_EQ,MATCH($A105,AP_FECH,0)),"")</f>
        <v/>
      </c>
      <c r="E105" s="12">
        <f>IF($B105="","",VLOOKUP($D105,CAD,5,FALSE))</f>
        <v/>
      </c>
      <c r="F105" s="12">
        <f>IF($B105="","",VLOOKUP($D105,CAD,5,FALSE)-VLOOKUP($D105,CAD,10,FALSE))</f>
        <v/>
      </c>
      <c r="G105" s="15">
        <f>IF($B105="","",SUMIFS(AP_DUR,AP_DATA,$B105,AP_TURNO,$C105,AP_EQ,$D105,AP_CLASSE,"Planejada"))</f>
        <v/>
      </c>
      <c r="H105" s="15">
        <f>IF($B105="","",E105-F105-G105)</f>
        <v/>
      </c>
      <c r="I105" s="15">
        <f>IF($B105="","",SUMIFS(AP_DUR,AP_DATA,$B105,AP_TURNO,$C105,AP_EQ,$D105,AP_CLASSE,"Não planejada"))</f>
        <v/>
      </c>
      <c r="J105" s="15">
        <f>IF($B105="","",H105-I105)</f>
        <v/>
      </c>
      <c r="K105" s="6">
        <f>IF($B105="","",IF(I105&gt;H105,"ERRO",""))</f>
        <v/>
      </c>
      <c r="L105" s="18">
        <f>IF($B105="","",IFERROR(J105/H105,""))</f>
        <v/>
      </c>
      <c r="M105" s="15">
        <f>IF($B105="","",VLOOKUP($D105,CAD,3,FALSE))</f>
        <v/>
      </c>
      <c r="N105" s="19">
        <f>IF($B105="","",INDEX(AP_PROD,MATCH($A105,AP_FECH,0)))</f>
        <v/>
      </c>
      <c r="O105" s="19">
        <f>IF($B105="","",J105*M105)</f>
        <v/>
      </c>
      <c r="P105" s="18">
        <f>IF($B105="","",IFERROR(N105/O105,""))</f>
        <v/>
      </c>
      <c r="Q105" s="19">
        <f>IF($B105="","",INDEX(AP_REF,MATCH($A105,AP_FECH,0)))</f>
        <v/>
      </c>
      <c r="R105" s="19">
        <f>IF($B105="","",INDEX(AP_RET,MATCH($A105,AP_FECH,0)))</f>
        <v/>
      </c>
      <c r="S105" s="19">
        <f>IF($B105="","",N105-Q105-R105)</f>
        <v/>
      </c>
      <c r="T105" s="18">
        <f>IF($B105="","",IFERROR(S105/N105,""))</f>
        <v/>
      </c>
      <c r="U105" s="18">
        <f>IF($B105="","",IFERROR(L105*P105*T105,""))</f>
        <v/>
      </c>
      <c r="V105" s="18">
        <f>IF($B105="","",IFERROR(S105/M105/H105,""))</f>
        <v/>
      </c>
      <c r="W105" s="20">
        <f>IF($B105="","",IFERROR(ROUND(U105-V105,6),""))</f>
        <v/>
      </c>
      <c r="X105" s="6">
        <f>IF($B105="","",IF(OR(K105="ERRO",W105&lt;&gt;0),"NÃO PUBLICAR",IF(P105&gt;1,"VERIFICAR: desempenho &gt; 100%","OK: as duas vias fecham")))</f>
        <v/>
      </c>
      <c r="Y105" s="15">
        <f>IF($B105="","",I105)</f>
        <v/>
      </c>
      <c r="Z105" s="15">
        <f>IF($B105="","",J105-N105/M105)</f>
        <v/>
      </c>
      <c r="AA105" s="15">
        <f>IF($B105="","",(Q105+R105)/M105)</f>
        <v/>
      </c>
      <c r="AB105" s="15">
        <f>IF($B105="","",S105/M105)</f>
        <v/>
      </c>
      <c r="AC105" s="15">
        <f>IF($B105="","",Y105+Z105+AA105+AB105)</f>
        <v/>
      </c>
      <c r="AD105" s="15">
        <f>IF($B105="","",AE105/M105)</f>
        <v/>
      </c>
      <c r="AE105" s="19">
        <f>IF($B105="","",INDEX(AP_ARR,MATCH($A105,AP_FECH,0)))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conditionalFormatting sqref="P6:P105">
    <cfRule type="expression" priority="1" dxfId="0">
      <formula>AND(ISNUMBER(P6),P6&gt;1)</formula>
    </cfRule>
  </conditionalFormatting>
  <conditionalFormatting sqref="K6:K105">
    <cfRule type="cellIs" priority="2" operator="equal" dxfId="0">
      <formula>"ERRO"</formula>
    </cfRule>
  </conditionalFormatting>
  <conditionalFormatting sqref="X6:X105">
    <cfRule type="expression" priority="3" dxfId="1">
      <formula>LEFT(X6,2)="OK"</formula>
    </cfRule>
    <cfRule type="expression" priority="4" dxfId="0">
      <formula>OR(LEFT(X6,3)="NÃO",LEFT(X6,3)="VER")</formula>
    </cfRule>
  </conditionalFormatting>
  <conditionalFormatting sqref="W6:W105">
    <cfRule type="expression" priority="5" dxfId="0">
      <formula>AND(ISNUMBER(W6),W6&lt;&gt;0)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A5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34" customWidth="1" min="3" max="3"/>
    <col width="10" customWidth="1" min="4" max="4"/>
    <col width="10" customWidth="1" min="5" max="5"/>
    <col width="11" customWidth="1" min="6" max="6"/>
    <col width="40" customWidth="1" min="7" max="7"/>
    <col width="10" customWidth="1" min="8" max="8"/>
    <col width="11" customWidth="1" min="9" max="9"/>
    <col width="11" customWidth="1" min="10" max="10"/>
    <col width="4" customWidth="1" min="11" max="11"/>
    <col width="2" customWidth="1" min="12" max="12"/>
    <col width="50" customWidth="1" min="13" max="13"/>
    <col width="12" customWidth="1" min="14" max="14"/>
    <col width="10" customWidth="1" min="15" max="15"/>
    <col width="10" customWidth="1" min="27" max="27"/>
  </cols>
  <sheetData>
    <row r="1">
      <c r="A1" s="1" t="inlineStr">
        <is>
          <t>Decomposição em minutos e Pareto de perdas</t>
        </is>
      </c>
    </row>
    <row r="2">
      <c r="A2" s="2" t="inlineStr">
        <is>
          <t>Voitto · blog.voitto.com.br · Modelo de OEE em Excel: o cálculo decomposto</t>
        </is>
      </c>
    </row>
    <row r="3">
      <c r="B3" s="5" t="inlineStr">
        <is>
          <t>Entrada (você digita)</t>
        </is>
      </c>
      <c r="C3" s="6" t="inlineStr">
        <is>
          <t>Fórmula (não editar)</t>
        </is>
      </c>
      <c r="D3" s="7" t="inlineStr">
        <is>
          <t>Resultado-chave</t>
        </is>
      </c>
    </row>
    <row r="4">
      <c r="AA4" s="21" t="inlineStr">
        <is>
          <t>lista</t>
        </is>
      </c>
    </row>
    <row r="5">
      <c r="B5" s="22" t="inlineStr">
        <is>
          <t>Equipamento (ou (todos))</t>
        </is>
      </c>
      <c r="C5" s="10" t="inlineStr">
        <is>
          <t>ENV-01</t>
        </is>
      </c>
      <c r="D5" s="21" t="inlineStr">
        <is>
          <t>(todos)</t>
        </is>
      </c>
      <c r="E5" s="6">
        <f>IF(C5="(todos)","*",C5)</f>
        <v/>
      </c>
      <c r="AA5" s="6" t="inlineStr">
        <is>
          <t>(todos)</t>
        </is>
      </c>
    </row>
    <row r="6">
      <c r="B6" s="22" t="inlineStr">
        <is>
          <t>Data inicial</t>
        </is>
      </c>
      <c r="C6" s="13" t="n">
        <v>46300</v>
      </c>
      <c r="AA6" s="6">
        <f>IF(Cadastro!A6="","",Cadastro!A6)</f>
        <v/>
      </c>
    </row>
    <row r="7">
      <c r="B7" s="22" t="inlineStr">
        <is>
          <t>Data final</t>
        </is>
      </c>
      <c r="C7" s="13" t="n">
        <v>46300</v>
      </c>
      <c r="AA7" s="6">
        <f>IF(Cadastro!A7="","",Cadastro!A7)</f>
        <v/>
      </c>
    </row>
    <row r="8">
      <c r="B8" s="22" t="inlineStr">
        <is>
          <t>Turnos no filtro</t>
        </is>
      </c>
      <c r="C8" s="12">
        <f>COUNTIFS(CA_EQ,EQF,CA_DATA,"&gt;="&amp;DT_INI,CA_DATA,"&lt;="&amp;DT_FIM)</f>
        <v/>
      </c>
      <c r="AA8" s="6">
        <f>IF(Cadastro!A8="","",Cadastro!A8)</f>
        <v/>
      </c>
    </row>
    <row r="9">
      <c r="AA9" s="6">
        <f>IF(Cadastro!A9="","",Cadastro!A9)</f>
        <v/>
      </c>
    </row>
    <row r="10">
      <c r="B10" s="23" t="inlineStr">
        <is>
          <t>1. Decomposição: as três perdas na mesma unidade (minutos de tempo planejado)</t>
        </is>
      </c>
      <c r="H10" s="23" t="inlineStr">
        <is>
          <t>2. Pareto das três perdas (o que a tabela 1 vira sem cálculo adicional)</t>
        </is>
      </c>
      <c r="M10" s="23" t="inlineStr">
        <is>
          <t>4. Leitura</t>
        </is>
      </c>
      <c r="AA10" s="6">
        <f>IF(Cadastro!A10="","",Cadastro!A10)</f>
        <v/>
      </c>
    </row>
    <row r="11" ht="30" customHeight="1">
      <c r="B11" s="9" t="inlineStr">
        <is>
          <t>Perda</t>
        </is>
      </c>
      <c r="C11" s="9" t="inlineStr">
        <is>
          <t>Conta</t>
        </is>
      </c>
      <c r="D11" s="9" t="inlineStr">
        <is>
          <t>Peças</t>
        </is>
      </c>
      <c r="E11" s="9" t="inlineStr">
        <is>
          <t>Minutos</t>
        </is>
      </c>
      <c r="F11" s="9" t="inlineStr">
        <is>
          <t>% do tempo planejado</t>
        </is>
      </c>
      <c r="H11" s="9" t="inlineStr">
        <is>
          <t>Perda</t>
        </is>
      </c>
      <c r="I11" s="9" t="inlineStr">
        <is>
          <t>Minutos</t>
        </is>
      </c>
      <c r="J11" s="9" t="inlineStr">
        <is>
          <t>% acumulado</t>
        </is>
      </c>
      <c r="K11" s="9" t="inlineStr">
        <is>
          <t>chave</t>
        </is>
      </c>
      <c r="M11" s="24">
        <f>IF(E12=0,"Sem paradas apontadas no filtro.","Maior motivo de parada: "&amp;INDEX($B$30:$B$49,MATCH(MAX($C$30:$C$49),$C$30:$C$49,0))&amp;", "&amp;FIXED(MAX($C$30:$C$49),1)&amp;" de "&amp;FIXED(E12,1)&amp;" min parados ("&amp;FIXED(MAX($C$30:$C$49)/E12*100,1)&amp;"% do tempo parado).")</f>
        <v/>
      </c>
      <c r="N11" s="25" t="n"/>
      <c r="O11" s="25" t="n"/>
      <c r="P11" s="25" t="n"/>
      <c r="Q11" s="25" t="n"/>
      <c r="R11" s="25" t="n"/>
      <c r="S11" s="25" t="n"/>
      <c r="T11" s="26" t="n"/>
      <c r="AA11" s="6">
        <f>IF(Cadastro!A11="","",Cadastro!A11)</f>
        <v/>
      </c>
    </row>
    <row r="12" ht="30" customHeight="1">
      <c r="B12" s="27" t="inlineStr">
        <is>
          <t>Disponibilidade</t>
        </is>
      </c>
      <c r="C12" s="6" t="inlineStr">
        <is>
          <t>Paradas apontadas</t>
        </is>
      </c>
      <c r="D12" s="19" t="inlineStr"/>
      <c r="E12" s="28">
        <f>SUMIFS(CA_LDISP,CA_EQ,EQF,CA_DATA,"&gt;="&amp;DT_INI,CA_DATA,"&lt;="&amp;DT_FIM)</f>
        <v/>
      </c>
      <c r="F12" s="18">
        <f>IFERROR(E12/$E$16,"")</f>
        <v/>
      </c>
      <c r="H12" s="6">
        <f>INDEX($B$12:$B$14,MATCH(LARGE($K$12:$K$14,1),$K$12:$K$14,0))</f>
        <v/>
      </c>
      <c r="I12" s="28">
        <f>INDEX($E$12:$E$14,MATCH(LARGE($K$12:$K$14,1),$K$12:$K$14,0))</f>
        <v/>
      </c>
      <c r="J12" s="29">
        <f>IFERROR(SUM($I$12:I12)/SUM($I$12:$I$14),"")</f>
        <v/>
      </c>
      <c r="K12" s="30">
        <f>E12+3/1000000</f>
        <v/>
      </c>
      <c r="M12" s="31">
        <f>IF(E12=0,"",IF(SUMIFS($C$30:$C$49,$B$30:$B$49,"999*")/E12&gt;0.1,"ALERTA: Outros (999) = "&amp;FIXED(SUMIFS($C$30:$C$49,$B$30:$B$49,"999*")/E12*100,1)&amp;"% do tempo parado. A lista de motivos está errada.","Outros (999) = "&amp;FIXED(SUMIFS($C$30:$C$49,$B$30:$B$49,"999*")/E12*100,1)&amp;"% do tempo parado (limite: 10%)."))</f>
        <v/>
      </c>
      <c r="N12" s="25" t="n"/>
      <c r="O12" s="25" t="n"/>
      <c r="P12" s="25" t="n"/>
      <c r="Q12" s="25" t="n"/>
      <c r="R12" s="25" t="n"/>
      <c r="S12" s="25" t="n"/>
      <c r="T12" s="26" t="n"/>
      <c r="AA12" s="6">
        <f>IF(Cadastro!A12="","",Cadastro!A12)</f>
        <v/>
      </c>
    </row>
    <row r="13" ht="30" customHeight="1">
      <c r="B13" s="27" t="inlineStr">
        <is>
          <t>Desempenho</t>
        </is>
      </c>
      <c r="C13" s="6" t="inlineStr">
        <is>
          <t>Peças não produzidas / cadência</t>
        </is>
      </c>
      <c r="D13" s="19">
        <f>SUMIFS(CA_POSS,CA_EQ,EQF,CA_DATA,"&gt;="&amp;DT_INI,CA_DATA,"&lt;="&amp;DT_FIM)-SUMIFS(CA_PROD,CA_EQ,EQF,CA_DATA,"&gt;="&amp;DT_INI,CA_DATA,"&lt;="&amp;DT_FIM)</f>
        <v/>
      </c>
      <c r="E13" s="28">
        <f>SUMIFS(CA_LDES,CA_EQ,EQF,CA_DATA,"&gt;="&amp;DT_INI,CA_DATA,"&lt;="&amp;DT_FIM)</f>
        <v/>
      </c>
      <c r="F13" s="18">
        <f>IFERROR(E13/$E$16,"")</f>
        <v/>
      </c>
      <c r="H13" s="6">
        <f>INDEX($B$12:$B$14,MATCH(LARGE($K$12:$K$14,2),$K$12:$K$14,0))</f>
        <v/>
      </c>
      <c r="I13" s="28">
        <f>INDEX($E$12:$E$14,MATCH(LARGE($K$12:$K$14,2),$K$12:$K$14,0))</f>
        <v/>
      </c>
      <c r="J13" s="29">
        <f>IFERROR(SUM($I$12:I13)/SUM($I$12:$I$14),"")</f>
        <v/>
      </c>
      <c r="K13" s="30">
        <f>E13+2/1000000</f>
        <v/>
      </c>
      <c r="M13" s="31">
        <f>IF(E16=0,"","A maior das três perdas é "&amp;H12&amp;" ("&amp;FIXED(I12,1)&amp;" min). Comece por ela.")</f>
        <v/>
      </c>
      <c r="N13" s="25" t="n"/>
      <c r="O13" s="25" t="n"/>
      <c r="P13" s="25" t="n"/>
      <c r="Q13" s="25" t="n"/>
      <c r="R13" s="25" t="n"/>
      <c r="S13" s="25" t="n"/>
      <c r="T13" s="26" t="n"/>
      <c r="AA13" s="6">
        <f>IF(Cadastro!A13="","",Cadastro!A13)</f>
        <v/>
      </c>
    </row>
    <row r="14">
      <c r="B14" s="27" t="inlineStr">
        <is>
          <t>Qualidade</t>
        </is>
      </c>
      <c r="C14" s="6" t="inlineStr">
        <is>
          <t>Peças de refugo e retrabalho / cadência</t>
        </is>
      </c>
      <c r="D14" s="19">
        <f>SUMIFS(CA_REF,CA_EQ,EQF,CA_DATA,"&gt;="&amp;DT_INI,CA_DATA,"&lt;="&amp;DT_FIM)+SUMIFS(CA_RET,CA_EQ,EQF,CA_DATA,"&gt;="&amp;DT_INI,CA_DATA,"&lt;="&amp;DT_FIM)</f>
        <v/>
      </c>
      <c r="E14" s="28">
        <f>SUMIFS(CA_LQUAL,CA_EQ,EQF,CA_DATA,"&gt;="&amp;DT_INI,CA_DATA,"&lt;="&amp;DT_FIM)</f>
        <v/>
      </c>
      <c r="F14" s="18">
        <f>IFERROR(E14/$E$16,"")</f>
        <v/>
      </c>
      <c r="H14" s="6">
        <f>INDEX($B$12:$B$14,MATCH(LARGE($K$12:$K$14,3),$K$12:$K$14,0))</f>
        <v/>
      </c>
      <c r="I14" s="28">
        <f>INDEX($E$12:$E$14,MATCH(LARGE($K$12:$K$14,3),$K$12:$K$14,0))</f>
        <v/>
      </c>
      <c r="J14" s="29">
        <f>IFERROR(SUM($I$12:I14)/SUM($I$12:$I$14),"")</f>
        <v/>
      </c>
      <c r="K14" s="30">
        <f>E14+1/1000000</f>
        <v/>
      </c>
      <c r="AA14" s="6">
        <f>IF(Cadastro!A14="","",Cadastro!A14)</f>
        <v/>
      </c>
    </row>
    <row r="15">
      <c r="B15" s="27" t="inlineStr">
        <is>
          <t>Tempo efetivo</t>
        </is>
      </c>
      <c r="C15" s="6" t="inlineStr">
        <is>
          <t>Peças boas / cadência</t>
        </is>
      </c>
      <c r="D15" s="19">
        <f>SUMIFS(CA_BOAS,CA_EQ,EQF,CA_DATA,"&gt;="&amp;DT_INI,CA_DATA,"&lt;="&amp;DT_FIM)</f>
        <v/>
      </c>
      <c r="E15" s="28">
        <f>SUMIFS(CA_EFET,CA_EQ,EQF,CA_DATA,"&gt;="&amp;DT_INI,CA_DATA,"&lt;="&amp;DT_FIM)</f>
        <v/>
      </c>
      <c r="F15" s="18">
        <f>IFERROR(E15/$E$16,"")</f>
        <v/>
      </c>
      <c r="M15" s="23" t="inlineStr">
        <is>
          <t>5. Simulador de meta em fator (meta em fator é auditável)</t>
        </is>
      </c>
      <c r="AA15" s="6">
        <f>IF(Cadastro!A15="","",Cadastro!A15)</f>
        <v/>
      </c>
    </row>
    <row r="16">
      <c r="B16" s="27" t="inlineStr">
        <is>
          <t>Total</t>
        </is>
      </c>
      <c r="C16" s="6" t="inlineStr">
        <is>
          <t>Soma = tempo planejado</t>
        </is>
      </c>
      <c r="D16" s="6" t="inlineStr"/>
      <c r="E16" s="28">
        <f>SUM(E12:E15)</f>
        <v/>
      </c>
      <c r="F16" s="18">
        <f>IFERROR(SUM(F12:F15),"")</f>
        <v/>
      </c>
      <c r="M16" s="22" t="inlineStr">
        <is>
          <t>Código do motivo a reduzir</t>
        </is>
      </c>
      <c r="N16" s="32" t="n">
        <v>201</v>
      </c>
      <c r="AA16" s="6">
        <f>IF(Cadastro!A16="","",Cadastro!A16)</f>
        <v/>
      </c>
    </row>
    <row r="17">
      <c r="B17" s="22" t="inlineStr">
        <is>
          <t>Conferência: tempo planejado somado no Cálculo</t>
        </is>
      </c>
      <c r="E17" s="15">
        <f>SUMIFS(CA_PLAN,CA_EQ,EQF,CA_DATA,"&gt;="&amp;DT_INI,CA_DATA,"&lt;="&amp;DT_FIM)</f>
        <v/>
      </c>
      <c r="F17" s="6">
        <f>IF(ROUND(E16-E17,6)=0,"fecha","NÃO FECHA")</f>
        <v/>
      </c>
      <c r="M17" s="22" t="inlineStr">
        <is>
          <t>Minutos atuais desse motivo</t>
        </is>
      </c>
      <c r="N17" s="15">
        <f>SUMIFS(AP_DUR,AP_COD,N16,AP_EQ,EQF,AP_DATA,"&gt;="&amp;DT_INI,AP_DATA,"&lt;="&amp;DT_FIM,AP_CLASSE,"Não planejada")</f>
        <v/>
      </c>
      <c r="AA17" s="6">
        <f>IF(Cadastro!A17="","",Cadastro!A17)</f>
        <v/>
      </c>
    </row>
    <row r="18">
      <c r="M18" s="22" t="inlineStr">
        <is>
          <t>Meta de minutos</t>
        </is>
      </c>
      <c r="N18" s="33" t="n">
        <v>15</v>
      </c>
      <c r="AA18" s="6">
        <f>IF(Cadastro!A18="","",Cadastro!A18)</f>
        <v/>
      </c>
    </row>
    <row r="19">
      <c r="B19" s="23" t="inlineStr">
        <is>
          <t>Fatores do período</t>
        </is>
      </c>
      <c r="M19" s="22" t="inlineStr">
        <is>
          <t>Disponibilidade com a meta</t>
        </is>
      </c>
      <c r="N19" s="18">
        <f>IFERROR((SUMIFS(CA_OPER,CA_EQ,EQF,CA_DATA,"&gt;="&amp;DT_INI,CA_DATA,"&lt;="&amp;DT_FIM)+N17-N18)/E17,"")</f>
        <v/>
      </c>
      <c r="AA19" s="6">
        <f>IF(Cadastro!A19="","",Cadastro!A19)</f>
        <v/>
      </c>
    </row>
    <row r="20">
      <c r="B20" s="22" t="inlineStr">
        <is>
          <t>Disponibilidade</t>
        </is>
      </c>
      <c r="C20" s="18">
        <f>IFERROR(SUMIFS(CA_OPER,CA_EQ,EQF,CA_DATA,"&gt;="&amp;DT_INI,CA_DATA,"&lt;="&amp;DT_FIM)/E17,"")</f>
        <v/>
      </c>
      <c r="M20" s="22" t="inlineStr">
        <is>
          <t>OEE com a meta (desempenho e qualidade mantidos)</t>
        </is>
      </c>
      <c r="N20" s="18">
        <f>IFERROR(N19*C21*C22,"")</f>
        <v/>
      </c>
      <c r="AA20" s="6">
        <f>IF(Cadastro!A20="","",Cadastro!A20)</f>
        <v/>
      </c>
    </row>
    <row r="21">
      <c r="B21" s="22" t="inlineStr">
        <is>
          <t>Desempenho</t>
        </is>
      </c>
      <c r="C21" s="18">
        <f>IFERROR((SUMIFS(CA_OPER,CA_EQ,EQF,CA_DATA,"&gt;="&amp;DT_INI,CA_DATA,"&lt;="&amp;DT_FIM)-E13)/SUMIFS(CA_OPER,CA_EQ,EQF,CA_DATA,"&gt;="&amp;DT_INI,CA_DATA,"&lt;="&amp;DT_FIM),"")</f>
        <v/>
      </c>
      <c r="AA21" s="6">
        <f>IF(Cadastro!A21="","",Cadastro!A21)</f>
        <v/>
      </c>
    </row>
    <row r="22">
      <c r="B22" s="22" t="inlineStr">
        <is>
          <t>Qualidade</t>
        </is>
      </c>
      <c r="C22" s="18">
        <f>IFERROR(E15/(SUMIFS(CA_OPER,CA_EQ,EQF,CA_DATA,"&gt;="&amp;DT_INI,CA_DATA,"&lt;="&amp;DT_FIM)-E13),"")</f>
        <v/>
      </c>
      <c r="M22" s="23" t="inlineStr">
        <is>
          <t>6. A mesma produção, três OEE: o efeito da definição do tempo planejado</t>
        </is>
      </c>
      <c r="AA22" s="6">
        <f>IF(Cadastro!A22="","",Cadastro!A22)</f>
        <v/>
      </c>
    </row>
    <row r="23">
      <c r="B23" s="22" t="inlineStr">
        <is>
          <t>OEE = Disponibilidade × Desempenho × Qualidade</t>
        </is>
      </c>
      <c r="C23" s="18">
        <f>IFERROR(C20*C21*C22,"")</f>
        <v/>
      </c>
      <c r="M23" s="9" t="inlineStr">
        <is>
          <t>Definição do tempo planejado</t>
        </is>
      </c>
      <c r="N23" s="9" t="inlineStr">
        <is>
          <t>Minutos</t>
        </is>
      </c>
      <c r="O23" s="9" t="inlineStr">
        <is>
          <t>OEE</t>
        </is>
      </c>
      <c r="AA23" s="6">
        <f>IF(Cadastro!A23="","",Cadastro!A23)</f>
        <v/>
      </c>
    </row>
    <row r="24">
      <c r="B24" s="22" t="inlineStr">
        <is>
          <t>OEE via curta = tempo efetivo / tempo planejado</t>
        </is>
      </c>
      <c r="C24" s="18">
        <f>IFERROR(E15/E17,"")</f>
        <v/>
      </c>
      <c r="M24" s="6" t="inlineStr">
        <is>
          <t>Calendário cheio, nada excluído</t>
        </is>
      </c>
      <c r="N24" s="15">
        <f>SUMIFS(CA_CAL,CA_EQ,EQF,CA_DATA,"&gt;="&amp;DT_INI,CA_DATA,"&lt;="&amp;DT_FIM)</f>
        <v/>
      </c>
      <c r="O24" s="18">
        <f>IFERROR($E$15/N24,"")</f>
        <v/>
      </c>
      <c r="AA24" s="6">
        <f>IF(Cadastro!A24="","",Cadastro!A24)</f>
        <v/>
      </c>
    </row>
    <row r="25">
      <c r="B25" s="22" t="inlineStr">
        <is>
          <t>Diferença entre as vias (deve ser 0)</t>
        </is>
      </c>
      <c r="C25" s="34">
        <f>IFERROR(ROUND(C23-C24,6),"")</f>
        <v/>
      </c>
      <c r="M25" s="6" t="inlineStr">
        <is>
          <t>Definição do Cadastro (exclusões fixas e planejadas)</t>
        </is>
      </c>
      <c r="N25" s="15">
        <f>E17</f>
        <v/>
      </c>
      <c r="O25" s="18">
        <f>IFERROR($E$15/N25,"")</f>
        <v/>
      </c>
      <c r="AA25" s="6">
        <f>IF(Cadastro!A25="","",Cadastro!A25)</f>
        <v/>
      </c>
    </row>
    <row r="26">
      <c r="M26" s="6">
        <f>"Definição do Cadastro menos também o motivo "&amp;N28</f>
        <v/>
      </c>
      <c r="N26" s="15">
        <f>N25-SUMIFS(AP_DUR,AP_COD,N28,AP_EQ,EQF,AP_DATA,"&gt;="&amp;DT_INI,AP_DATA,"&lt;="&amp;DT_FIM)</f>
        <v/>
      </c>
      <c r="O26" s="18">
        <f>IFERROR($E$15/N26,"")</f>
        <v/>
      </c>
    </row>
    <row r="27">
      <c r="B27" s="22" t="inlineStr"/>
      <c r="M27" s="22" t="inlineStr">
        <is>
          <t>Numerador fixo: tempo efetivo (peças boas / cadência), em min</t>
        </is>
      </c>
      <c r="N27" s="15">
        <f>E15</f>
        <v/>
      </c>
    </row>
    <row r="28">
      <c r="B28" s="23" t="inlineStr">
        <is>
          <t>3. Pareto por motivo (minutos de tempo planejado)</t>
        </is>
      </c>
      <c r="F28" s="35" t="inlineStr">
        <is>
          <t>Ordenado (o gráfico mostra os 8 primeiros)</t>
        </is>
      </c>
      <c r="M28" s="22" t="inlineStr">
        <is>
          <t>Motivo tirado do denominador na 3ª linha (código)</t>
        </is>
      </c>
      <c r="N28" s="32" t="n">
        <v>201</v>
      </c>
    </row>
    <row r="29">
      <c r="B29" s="9" t="inlineStr">
        <is>
          <t>Item</t>
        </is>
      </c>
      <c r="C29" s="9" t="inlineStr">
        <is>
          <t>Minutos</t>
        </is>
      </c>
      <c r="D29" s="9" t="inlineStr">
        <is>
          <t>chave</t>
        </is>
      </c>
      <c r="F29" s="9" t="inlineStr">
        <is>
          <t>Pos.</t>
        </is>
      </c>
      <c r="G29" s="9" t="inlineStr">
        <is>
          <t>Item</t>
        </is>
      </c>
      <c r="H29" s="9" t="inlineStr">
        <is>
          <t>Minutos</t>
        </is>
      </c>
      <c r="I29" s="9" t="inlineStr">
        <is>
          <t>% do perdido</t>
        </is>
      </c>
      <c r="J29" s="9" t="inlineStr">
        <is>
          <t>% acumulado</t>
        </is>
      </c>
      <c r="M29" s="6">
        <f>"Diferença entre a maior e a menor: "&amp;FIXED((MAX(O24:O26)-MIN(O24:O26))*100,1)&amp;" pontos, com a mesma produção."</f>
        <v/>
      </c>
      <c r="N29" s="25" t="n"/>
      <c r="O29" s="26" t="n"/>
    </row>
    <row r="30">
      <c r="B30" s="6">
        <f>IF(Motivos!A6="","",Motivos!A6&amp;" "&amp;Motivos!B6)</f>
        <v/>
      </c>
      <c r="C30" s="15">
        <f>IF(Motivos!A6="",0,SUMIFS(AP_DUR,AP_COD,Motivos!A6,AP_EQ,EQF,AP_DATA,"&gt;="&amp;DT_INI,AP_DATA,"&lt;="&amp;DT_FIM,AP_CLASSE,"Não planejada"))</f>
        <v/>
      </c>
      <c r="D30" s="30">
        <f>C30+23/1000000</f>
        <v/>
      </c>
      <c r="F30" s="12" t="n">
        <v>1</v>
      </c>
      <c r="G30" s="6">
        <f>IF(H30&gt;0,INDEX($B$30:$B$52,MATCH(LARGE($D$30:$D$52,1),$D$30:$D$52,0)),"")</f>
        <v/>
      </c>
      <c r="H30" s="28">
        <f>INDEX($C$30:$C$52,MATCH(LARGE($D$30:$D$52,1),$D$30:$D$52,0))</f>
        <v/>
      </c>
      <c r="I30" s="29">
        <f>IFERROR(H30/$C$53,"")</f>
        <v/>
      </c>
      <c r="J30" s="29">
        <f>IFERROR(SUM($H$30:H30)/$C$53,"")</f>
        <v/>
      </c>
    </row>
    <row r="31">
      <c r="B31" s="6">
        <f>IF(Motivos!A7="","",Motivos!A7&amp;" "&amp;Motivos!B7)</f>
        <v/>
      </c>
      <c r="C31" s="15">
        <f>IF(Motivos!A7="",0,SUMIFS(AP_DUR,AP_COD,Motivos!A7,AP_EQ,EQF,AP_DATA,"&gt;="&amp;DT_INI,AP_DATA,"&lt;="&amp;DT_FIM,AP_CLASSE,"Não planejada"))</f>
        <v/>
      </c>
      <c r="D31" s="30">
        <f>C31+22/1000000</f>
        <v/>
      </c>
      <c r="F31" s="12" t="n">
        <v>2</v>
      </c>
      <c r="G31" s="6">
        <f>IF(H31&gt;0,INDEX($B$30:$B$52,MATCH(LARGE($D$30:$D$52,2),$D$30:$D$52,0)),"")</f>
        <v/>
      </c>
      <c r="H31" s="28">
        <f>INDEX($C$30:$C$52,MATCH(LARGE($D$30:$D$52,2),$D$30:$D$52,0))</f>
        <v/>
      </c>
      <c r="I31" s="29">
        <f>IFERROR(H31/$C$53,"")</f>
        <v/>
      </c>
      <c r="J31" s="29">
        <f>IFERROR(SUM($H$30:H31)/$C$53,"")</f>
        <v/>
      </c>
    </row>
    <row r="32">
      <c r="B32" s="6">
        <f>IF(Motivos!A8="","",Motivos!A8&amp;" "&amp;Motivos!B8)</f>
        <v/>
      </c>
      <c r="C32" s="15">
        <f>IF(Motivos!A8="",0,SUMIFS(AP_DUR,AP_COD,Motivos!A8,AP_EQ,EQF,AP_DATA,"&gt;="&amp;DT_INI,AP_DATA,"&lt;="&amp;DT_FIM,AP_CLASSE,"Não planejada"))</f>
        <v/>
      </c>
      <c r="D32" s="30">
        <f>C32+21/1000000</f>
        <v/>
      </c>
      <c r="F32" s="12" t="n">
        <v>3</v>
      </c>
      <c r="G32" s="6">
        <f>IF(H32&gt;0,INDEX($B$30:$B$52,MATCH(LARGE($D$30:$D$52,3),$D$30:$D$52,0)),"")</f>
        <v/>
      </c>
      <c r="H32" s="28">
        <f>INDEX($C$30:$C$52,MATCH(LARGE($D$30:$D$52,3),$D$30:$D$52,0))</f>
        <v/>
      </c>
      <c r="I32" s="29">
        <f>IFERROR(H32/$C$53,"")</f>
        <v/>
      </c>
      <c r="J32" s="29">
        <f>IFERROR(SUM($H$30:H32)/$C$53,"")</f>
        <v/>
      </c>
    </row>
    <row r="33">
      <c r="B33" s="6">
        <f>IF(Motivos!A9="","",Motivos!A9&amp;" "&amp;Motivos!B9)</f>
        <v/>
      </c>
      <c r="C33" s="15">
        <f>IF(Motivos!A9="",0,SUMIFS(AP_DUR,AP_COD,Motivos!A9,AP_EQ,EQF,AP_DATA,"&gt;="&amp;DT_INI,AP_DATA,"&lt;="&amp;DT_FIM,AP_CLASSE,"Não planejada"))</f>
        <v/>
      </c>
      <c r="D33" s="30">
        <f>C33+20/1000000</f>
        <v/>
      </c>
      <c r="F33" s="12" t="n">
        <v>4</v>
      </c>
      <c r="G33" s="6">
        <f>IF(H33&gt;0,INDEX($B$30:$B$52,MATCH(LARGE($D$30:$D$52,4),$D$30:$D$52,0)),"")</f>
        <v/>
      </c>
      <c r="H33" s="28">
        <f>INDEX($C$30:$C$52,MATCH(LARGE($D$30:$D$52,4),$D$30:$D$52,0))</f>
        <v/>
      </c>
      <c r="I33" s="29">
        <f>IFERROR(H33/$C$53,"")</f>
        <v/>
      </c>
      <c r="J33" s="29">
        <f>IFERROR(SUM($H$30:H33)/$C$53,"")</f>
        <v/>
      </c>
    </row>
    <row r="34">
      <c r="B34" s="6">
        <f>IF(Motivos!A10="","",Motivos!A10&amp;" "&amp;Motivos!B10)</f>
        <v/>
      </c>
      <c r="C34" s="15">
        <f>IF(Motivos!A10="",0,SUMIFS(AP_DUR,AP_COD,Motivos!A10,AP_EQ,EQF,AP_DATA,"&gt;="&amp;DT_INI,AP_DATA,"&lt;="&amp;DT_FIM,AP_CLASSE,"Não planejada"))</f>
        <v/>
      </c>
      <c r="D34" s="30">
        <f>C34+19/1000000</f>
        <v/>
      </c>
      <c r="F34" s="12" t="n">
        <v>5</v>
      </c>
      <c r="G34" s="6">
        <f>IF(H34&gt;0,INDEX($B$30:$B$52,MATCH(LARGE($D$30:$D$52,5),$D$30:$D$52,0)),"")</f>
        <v/>
      </c>
      <c r="H34" s="28">
        <f>INDEX($C$30:$C$52,MATCH(LARGE($D$30:$D$52,5),$D$30:$D$52,0))</f>
        <v/>
      </c>
      <c r="I34" s="29">
        <f>IFERROR(H34/$C$53,"")</f>
        <v/>
      </c>
      <c r="J34" s="29">
        <f>IFERROR(SUM($H$30:H34)/$C$53,"")</f>
        <v/>
      </c>
    </row>
    <row r="35">
      <c r="B35" s="6">
        <f>IF(Motivos!A11="","",Motivos!A11&amp;" "&amp;Motivos!B11)</f>
        <v/>
      </c>
      <c r="C35" s="15">
        <f>IF(Motivos!A11="",0,SUMIFS(AP_DUR,AP_COD,Motivos!A11,AP_EQ,EQF,AP_DATA,"&gt;="&amp;DT_INI,AP_DATA,"&lt;="&amp;DT_FIM,AP_CLASSE,"Não planejada"))</f>
        <v/>
      </c>
      <c r="D35" s="30">
        <f>C35+18/1000000</f>
        <v/>
      </c>
      <c r="F35" s="12" t="n">
        <v>6</v>
      </c>
      <c r="G35" s="6">
        <f>IF(H35&gt;0,INDEX($B$30:$B$52,MATCH(LARGE($D$30:$D$52,6),$D$30:$D$52,0)),"")</f>
        <v/>
      </c>
      <c r="H35" s="28">
        <f>INDEX($C$30:$C$52,MATCH(LARGE($D$30:$D$52,6),$D$30:$D$52,0))</f>
        <v/>
      </c>
      <c r="I35" s="29">
        <f>IFERROR(H35/$C$53,"")</f>
        <v/>
      </c>
      <c r="J35" s="29">
        <f>IFERROR(SUM($H$30:H35)/$C$53,"")</f>
        <v/>
      </c>
    </row>
    <row r="36">
      <c r="B36" s="6">
        <f>IF(Motivos!A12="","",Motivos!A12&amp;" "&amp;Motivos!B12)</f>
        <v/>
      </c>
      <c r="C36" s="15">
        <f>IF(Motivos!A12="",0,SUMIFS(AP_DUR,AP_COD,Motivos!A12,AP_EQ,EQF,AP_DATA,"&gt;="&amp;DT_INI,AP_DATA,"&lt;="&amp;DT_FIM,AP_CLASSE,"Não planejada"))</f>
        <v/>
      </c>
      <c r="D36" s="30">
        <f>C36+17/1000000</f>
        <v/>
      </c>
      <c r="F36" s="12" t="n">
        <v>7</v>
      </c>
      <c r="G36" s="6">
        <f>IF(H36&gt;0,INDEX($B$30:$B$52,MATCH(LARGE($D$30:$D$52,7),$D$30:$D$52,0)),"")</f>
        <v/>
      </c>
      <c r="H36" s="28">
        <f>INDEX($C$30:$C$52,MATCH(LARGE($D$30:$D$52,7),$D$30:$D$52,0))</f>
        <v/>
      </c>
      <c r="I36" s="29">
        <f>IFERROR(H36/$C$53,"")</f>
        <v/>
      </c>
      <c r="J36" s="29">
        <f>IFERROR(SUM($H$30:H36)/$C$53,"")</f>
        <v/>
      </c>
    </row>
    <row r="37">
      <c r="B37" s="6">
        <f>IF(Motivos!A13="","",Motivos!A13&amp;" "&amp;Motivos!B13)</f>
        <v/>
      </c>
      <c r="C37" s="15">
        <f>IF(Motivos!A13="",0,SUMIFS(AP_DUR,AP_COD,Motivos!A13,AP_EQ,EQF,AP_DATA,"&gt;="&amp;DT_INI,AP_DATA,"&lt;="&amp;DT_FIM,AP_CLASSE,"Não planejada"))</f>
        <v/>
      </c>
      <c r="D37" s="30">
        <f>C37+16/1000000</f>
        <v/>
      </c>
      <c r="F37" s="12" t="n">
        <v>8</v>
      </c>
      <c r="G37" s="6">
        <f>IF(H37&gt;0,INDEX($B$30:$B$52,MATCH(LARGE($D$30:$D$52,8),$D$30:$D$52,0)),"")</f>
        <v/>
      </c>
      <c r="H37" s="28">
        <f>INDEX($C$30:$C$52,MATCH(LARGE($D$30:$D$52,8),$D$30:$D$52,0))</f>
        <v/>
      </c>
      <c r="I37" s="29">
        <f>IFERROR(H37/$C$53,"")</f>
        <v/>
      </c>
      <c r="J37" s="29">
        <f>IFERROR(SUM($H$30:H37)/$C$53,"")</f>
        <v/>
      </c>
    </row>
    <row r="38">
      <c r="B38" s="6">
        <f>IF(Motivos!A14="","",Motivos!A14&amp;" "&amp;Motivos!B14)</f>
        <v/>
      </c>
      <c r="C38" s="15">
        <f>IF(Motivos!A14="",0,SUMIFS(AP_DUR,AP_COD,Motivos!A14,AP_EQ,EQF,AP_DATA,"&gt;="&amp;DT_INI,AP_DATA,"&lt;="&amp;DT_FIM,AP_CLASSE,"Não planejada"))</f>
        <v/>
      </c>
      <c r="D38" s="30">
        <f>C38+15/1000000</f>
        <v/>
      </c>
      <c r="F38" s="12" t="n">
        <v>9</v>
      </c>
      <c r="G38" s="6">
        <f>IF(H38&gt;0,INDEX($B$30:$B$52,MATCH(LARGE($D$30:$D$52,9),$D$30:$D$52,0)),"")</f>
        <v/>
      </c>
      <c r="H38" s="28">
        <f>INDEX($C$30:$C$52,MATCH(LARGE($D$30:$D$52,9),$D$30:$D$52,0))</f>
        <v/>
      </c>
      <c r="I38" s="29">
        <f>IFERROR(H38/$C$53,"")</f>
        <v/>
      </c>
      <c r="J38" s="29">
        <f>IFERROR(SUM($H$30:H38)/$C$53,"")</f>
        <v/>
      </c>
    </row>
    <row r="39">
      <c r="B39" s="6">
        <f>IF(Motivos!A15="","",Motivos!A15&amp;" "&amp;Motivos!B15)</f>
        <v/>
      </c>
      <c r="C39" s="15">
        <f>IF(Motivos!A15="",0,SUMIFS(AP_DUR,AP_COD,Motivos!A15,AP_EQ,EQF,AP_DATA,"&gt;="&amp;DT_INI,AP_DATA,"&lt;="&amp;DT_FIM,AP_CLASSE,"Não planejada"))</f>
        <v/>
      </c>
      <c r="D39" s="30">
        <f>C39+14/1000000</f>
        <v/>
      </c>
      <c r="F39" s="12" t="n">
        <v>10</v>
      </c>
      <c r="G39" s="6">
        <f>IF(H39&gt;0,INDEX($B$30:$B$52,MATCH(LARGE($D$30:$D$52,10),$D$30:$D$52,0)),"")</f>
        <v/>
      </c>
      <c r="H39" s="28">
        <f>INDEX($C$30:$C$52,MATCH(LARGE($D$30:$D$52,10),$D$30:$D$52,0))</f>
        <v/>
      </c>
      <c r="I39" s="29">
        <f>IFERROR(H39/$C$53,"")</f>
        <v/>
      </c>
      <c r="J39" s="29">
        <f>IFERROR(SUM($H$30:H39)/$C$53,"")</f>
        <v/>
      </c>
    </row>
    <row r="40">
      <c r="B40" s="6">
        <f>IF(Motivos!A16="","",Motivos!A16&amp;" "&amp;Motivos!B16)</f>
        <v/>
      </c>
      <c r="C40" s="15">
        <f>IF(Motivos!A16="",0,SUMIFS(AP_DUR,AP_COD,Motivos!A16,AP_EQ,EQF,AP_DATA,"&gt;="&amp;DT_INI,AP_DATA,"&lt;="&amp;DT_FIM,AP_CLASSE,"Não planejada"))</f>
        <v/>
      </c>
      <c r="D40" s="30">
        <f>C40+13/1000000</f>
        <v/>
      </c>
      <c r="F40" s="12" t="n">
        <v>11</v>
      </c>
      <c r="G40" s="6">
        <f>IF(H40&gt;0,INDEX($B$30:$B$52,MATCH(LARGE($D$30:$D$52,11),$D$30:$D$52,0)),"")</f>
        <v/>
      </c>
      <c r="H40" s="28">
        <f>INDEX($C$30:$C$52,MATCH(LARGE($D$30:$D$52,11),$D$30:$D$52,0))</f>
        <v/>
      </c>
      <c r="I40" s="29">
        <f>IFERROR(H40/$C$53,"")</f>
        <v/>
      </c>
      <c r="J40" s="29">
        <f>IFERROR(SUM($H$30:H40)/$C$53,"")</f>
        <v/>
      </c>
    </row>
    <row r="41">
      <c r="B41" s="6">
        <f>IF(Motivos!A17="","",Motivos!A17&amp;" "&amp;Motivos!B17)</f>
        <v/>
      </c>
      <c r="C41" s="15">
        <f>IF(Motivos!A17="",0,SUMIFS(AP_DUR,AP_COD,Motivos!A17,AP_EQ,EQF,AP_DATA,"&gt;="&amp;DT_INI,AP_DATA,"&lt;="&amp;DT_FIM,AP_CLASSE,"Não planejada"))</f>
        <v/>
      </c>
      <c r="D41" s="30">
        <f>C41+12/1000000</f>
        <v/>
      </c>
      <c r="F41" s="12" t="n">
        <v>12</v>
      </c>
      <c r="G41" s="6">
        <f>IF(H41&gt;0,INDEX($B$30:$B$52,MATCH(LARGE($D$30:$D$52,12),$D$30:$D$52,0)),"")</f>
        <v/>
      </c>
      <c r="H41" s="28">
        <f>INDEX($C$30:$C$52,MATCH(LARGE($D$30:$D$52,12),$D$30:$D$52,0))</f>
        <v/>
      </c>
      <c r="I41" s="29">
        <f>IFERROR(H41/$C$53,"")</f>
        <v/>
      </c>
      <c r="J41" s="29">
        <f>IFERROR(SUM($H$30:H41)/$C$53,"")</f>
        <v/>
      </c>
    </row>
    <row r="42">
      <c r="B42" s="6">
        <f>IF(Motivos!A18="","",Motivos!A18&amp;" "&amp;Motivos!B18)</f>
        <v/>
      </c>
      <c r="C42" s="15">
        <f>IF(Motivos!A18="",0,SUMIFS(AP_DUR,AP_COD,Motivos!A18,AP_EQ,EQF,AP_DATA,"&gt;="&amp;DT_INI,AP_DATA,"&lt;="&amp;DT_FIM,AP_CLASSE,"Não planejada"))</f>
        <v/>
      </c>
      <c r="D42" s="30">
        <f>C42+11/1000000</f>
        <v/>
      </c>
      <c r="F42" s="12" t="n">
        <v>13</v>
      </c>
      <c r="G42" s="6">
        <f>IF(H42&gt;0,INDEX($B$30:$B$52,MATCH(LARGE($D$30:$D$52,13),$D$30:$D$52,0)),"")</f>
        <v/>
      </c>
      <c r="H42" s="28">
        <f>INDEX($C$30:$C$52,MATCH(LARGE($D$30:$D$52,13),$D$30:$D$52,0))</f>
        <v/>
      </c>
      <c r="I42" s="29">
        <f>IFERROR(H42/$C$53,"")</f>
        <v/>
      </c>
      <c r="J42" s="29">
        <f>IFERROR(SUM($H$30:H42)/$C$53,"")</f>
        <v/>
      </c>
    </row>
    <row r="43">
      <c r="B43" s="6">
        <f>IF(Motivos!A19="","",Motivos!A19&amp;" "&amp;Motivos!B19)</f>
        <v/>
      </c>
      <c r="C43" s="15">
        <f>IF(Motivos!A19="",0,SUMIFS(AP_DUR,AP_COD,Motivos!A19,AP_EQ,EQF,AP_DATA,"&gt;="&amp;DT_INI,AP_DATA,"&lt;="&amp;DT_FIM,AP_CLASSE,"Não planejada"))</f>
        <v/>
      </c>
      <c r="D43" s="30">
        <f>C43+10/1000000</f>
        <v/>
      </c>
      <c r="F43" s="12" t="n">
        <v>14</v>
      </c>
      <c r="G43" s="6">
        <f>IF(H43&gt;0,INDEX($B$30:$B$52,MATCH(LARGE($D$30:$D$52,14),$D$30:$D$52,0)),"")</f>
        <v/>
      </c>
      <c r="H43" s="28">
        <f>INDEX($C$30:$C$52,MATCH(LARGE($D$30:$D$52,14),$D$30:$D$52,0))</f>
        <v/>
      </c>
      <c r="I43" s="29">
        <f>IFERROR(H43/$C$53,"")</f>
        <v/>
      </c>
      <c r="J43" s="29">
        <f>IFERROR(SUM($H$30:H43)/$C$53,"")</f>
        <v/>
      </c>
    </row>
    <row r="44">
      <c r="B44" s="6">
        <f>IF(Motivos!A20="","",Motivos!A20&amp;" "&amp;Motivos!B20)</f>
        <v/>
      </c>
      <c r="C44" s="15">
        <f>IF(Motivos!A20="",0,SUMIFS(AP_DUR,AP_COD,Motivos!A20,AP_EQ,EQF,AP_DATA,"&gt;="&amp;DT_INI,AP_DATA,"&lt;="&amp;DT_FIM,AP_CLASSE,"Não planejada"))</f>
        <v/>
      </c>
      <c r="D44" s="30">
        <f>C44+9/1000000</f>
        <v/>
      </c>
      <c r="F44" s="12" t="n">
        <v>15</v>
      </c>
      <c r="G44" s="6">
        <f>IF(H44&gt;0,INDEX($B$30:$B$52,MATCH(LARGE($D$30:$D$52,15),$D$30:$D$52,0)),"")</f>
        <v/>
      </c>
      <c r="H44" s="28">
        <f>INDEX($C$30:$C$52,MATCH(LARGE($D$30:$D$52,15),$D$30:$D$52,0))</f>
        <v/>
      </c>
      <c r="I44" s="29">
        <f>IFERROR(H44/$C$53,"")</f>
        <v/>
      </c>
      <c r="J44" s="29">
        <f>IFERROR(SUM($H$30:H44)/$C$53,"")</f>
        <v/>
      </c>
    </row>
    <row r="45">
      <c r="B45" s="6">
        <f>IF(Motivos!A21="","",Motivos!A21&amp;" "&amp;Motivos!B21)</f>
        <v/>
      </c>
      <c r="C45" s="15">
        <f>IF(Motivos!A21="",0,SUMIFS(AP_DUR,AP_COD,Motivos!A21,AP_EQ,EQF,AP_DATA,"&gt;="&amp;DT_INI,AP_DATA,"&lt;="&amp;DT_FIM,AP_CLASSE,"Não planejada"))</f>
        <v/>
      </c>
      <c r="D45" s="30">
        <f>C45+8/1000000</f>
        <v/>
      </c>
      <c r="F45" s="12" t="n">
        <v>16</v>
      </c>
      <c r="G45" s="6">
        <f>IF(H45&gt;0,INDEX($B$30:$B$52,MATCH(LARGE($D$30:$D$52,16),$D$30:$D$52,0)),"")</f>
        <v/>
      </c>
      <c r="H45" s="28">
        <f>INDEX($C$30:$C$52,MATCH(LARGE($D$30:$D$52,16),$D$30:$D$52,0))</f>
        <v/>
      </c>
      <c r="I45" s="29">
        <f>IFERROR(H45/$C$53,"")</f>
        <v/>
      </c>
      <c r="J45" s="29">
        <f>IFERROR(SUM($H$30:H45)/$C$53,"")</f>
        <v/>
      </c>
    </row>
    <row r="46">
      <c r="B46" s="6">
        <f>IF(Motivos!A22="","",Motivos!A22&amp;" "&amp;Motivos!B22)</f>
        <v/>
      </c>
      <c r="C46" s="15">
        <f>IF(Motivos!A22="",0,SUMIFS(AP_DUR,AP_COD,Motivos!A22,AP_EQ,EQF,AP_DATA,"&gt;="&amp;DT_INI,AP_DATA,"&lt;="&amp;DT_FIM,AP_CLASSE,"Não planejada"))</f>
        <v/>
      </c>
      <c r="D46" s="30">
        <f>C46+7/1000000</f>
        <v/>
      </c>
      <c r="F46" s="12" t="n">
        <v>17</v>
      </c>
      <c r="G46" s="6">
        <f>IF(H46&gt;0,INDEX($B$30:$B$52,MATCH(LARGE($D$30:$D$52,17),$D$30:$D$52,0)),"")</f>
        <v/>
      </c>
      <c r="H46" s="28">
        <f>INDEX($C$30:$C$52,MATCH(LARGE($D$30:$D$52,17),$D$30:$D$52,0))</f>
        <v/>
      </c>
      <c r="I46" s="29">
        <f>IFERROR(H46/$C$53,"")</f>
        <v/>
      </c>
      <c r="J46" s="29">
        <f>IFERROR(SUM($H$30:H46)/$C$53,"")</f>
        <v/>
      </c>
    </row>
    <row r="47">
      <c r="B47" s="6">
        <f>IF(Motivos!A23="","",Motivos!A23&amp;" "&amp;Motivos!B23)</f>
        <v/>
      </c>
      <c r="C47" s="15">
        <f>IF(Motivos!A23="",0,SUMIFS(AP_DUR,AP_COD,Motivos!A23,AP_EQ,EQF,AP_DATA,"&gt;="&amp;DT_INI,AP_DATA,"&lt;="&amp;DT_FIM,AP_CLASSE,"Não planejada"))</f>
        <v/>
      </c>
      <c r="D47" s="30">
        <f>C47+6/1000000</f>
        <v/>
      </c>
      <c r="F47" s="12" t="n">
        <v>18</v>
      </c>
      <c r="G47" s="6">
        <f>IF(H47&gt;0,INDEX($B$30:$B$52,MATCH(LARGE($D$30:$D$52,18),$D$30:$D$52,0)),"")</f>
        <v/>
      </c>
      <c r="H47" s="28">
        <f>INDEX($C$30:$C$52,MATCH(LARGE($D$30:$D$52,18),$D$30:$D$52,0))</f>
        <v/>
      </c>
      <c r="I47" s="29">
        <f>IFERROR(H47/$C$53,"")</f>
        <v/>
      </c>
      <c r="J47" s="29">
        <f>IFERROR(SUM($H$30:H47)/$C$53,"")</f>
        <v/>
      </c>
    </row>
    <row r="48">
      <c r="B48" s="6">
        <f>IF(Motivos!A24="","",Motivos!A24&amp;" "&amp;Motivos!B24)</f>
        <v/>
      </c>
      <c r="C48" s="15">
        <f>IF(Motivos!A24="",0,SUMIFS(AP_DUR,AP_COD,Motivos!A24,AP_EQ,EQF,AP_DATA,"&gt;="&amp;DT_INI,AP_DATA,"&lt;="&amp;DT_FIM,AP_CLASSE,"Não planejada"))</f>
        <v/>
      </c>
      <c r="D48" s="30">
        <f>C48+5/1000000</f>
        <v/>
      </c>
      <c r="F48" s="12" t="n">
        <v>19</v>
      </c>
      <c r="G48" s="6">
        <f>IF(H48&gt;0,INDEX($B$30:$B$52,MATCH(LARGE($D$30:$D$52,19),$D$30:$D$52,0)),"")</f>
        <v/>
      </c>
      <c r="H48" s="28">
        <f>INDEX($C$30:$C$52,MATCH(LARGE($D$30:$D$52,19),$D$30:$D$52,0))</f>
        <v/>
      </c>
      <c r="I48" s="29">
        <f>IFERROR(H48/$C$53,"")</f>
        <v/>
      </c>
      <c r="J48" s="29">
        <f>IFERROR(SUM($H$30:H48)/$C$53,"")</f>
        <v/>
      </c>
    </row>
    <row r="49">
      <c r="B49" s="6">
        <f>IF(Motivos!A25="","",Motivos!A25&amp;" "&amp;Motivos!B25)</f>
        <v/>
      </c>
      <c r="C49" s="15">
        <f>IF(Motivos!A25="",0,SUMIFS(AP_DUR,AP_COD,Motivos!A25,AP_EQ,EQF,AP_DATA,"&gt;="&amp;DT_INI,AP_DATA,"&lt;="&amp;DT_FIM,AP_CLASSE,"Não planejada"))</f>
        <v/>
      </c>
      <c r="D49" s="30">
        <f>C49+4/1000000</f>
        <v/>
      </c>
      <c r="F49" s="12" t="n">
        <v>20</v>
      </c>
      <c r="G49" s="6">
        <f>IF(H49&gt;0,INDEX($B$30:$B$52,MATCH(LARGE($D$30:$D$52,20),$D$30:$D$52,0)),"")</f>
        <v/>
      </c>
      <c r="H49" s="28">
        <f>INDEX($C$30:$C$52,MATCH(LARGE($D$30:$D$52,20),$D$30:$D$52,0))</f>
        <v/>
      </c>
      <c r="I49" s="29">
        <f>IFERROR(H49/$C$53,"")</f>
        <v/>
      </c>
      <c r="J49" s="29">
        <f>IFERROR(SUM($H$30:H49)/$C$53,"")</f>
        <v/>
      </c>
    </row>
    <row r="50">
      <c r="B50" s="6" t="inlineStr">
        <is>
          <t>Desempenho sem código (resíduo: pequenas paradas e velocidade)</t>
        </is>
      </c>
      <c r="C50" s="15">
        <f>E13</f>
        <v/>
      </c>
      <c r="D50" s="30">
        <f>C50+3/1000000</f>
        <v/>
      </c>
      <c r="F50" s="12" t="n">
        <v>21</v>
      </c>
      <c r="G50" s="6">
        <f>IF(H50&gt;0,INDEX($B$30:$B$52,MATCH(LARGE($D$30:$D$52,21),$D$30:$D$52,0)),"")</f>
        <v/>
      </c>
      <c r="H50" s="28">
        <f>INDEX($C$30:$C$52,MATCH(LARGE($D$30:$D$52,21),$D$30:$D$52,0))</f>
        <v/>
      </c>
      <c r="I50" s="29">
        <f>IFERROR(H50/$C$53,"")</f>
        <v/>
      </c>
      <c r="J50" s="29">
        <f>IFERROR(SUM($H$30:H50)/$C$53,"")</f>
        <v/>
      </c>
    </row>
    <row r="51">
      <c r="B51" s="6" t="inlineStr">
        <is>
          <t>Refugo de arranque</t>
        </is>
      </c>
      <c r="C51" s="15">
        <f>SUMIFS(CA_LARR,CA_EQ,EQF,CA_DATA,"&gt;="&amp;DT_INI,CA_DATA,"&lt;="&amp;DT_FIM)</f>
        <v/>
      </c>
      <c r="D51" s="30">
        <f>C51+2/1000000</f>
        <v/>
      </c>
      <c r="F51" s="12" t="n">
        <v>22</v>
      </c>
      <c r="G51" s="6">
        <f>IF(H51&gt;0,INDEX($B$30:$B$52,MATCH(LARGE($D$30:$D$52,22),$D$30:$D$52,0)),"")</f>
        <v/>
      </c>
      <c r="H51" s="28">
        <f>INDEX($C$30:$C$52,MATCH(LARGE($D$30:$D$52,22),$D$30:$D$52,0))</f>
        <v/>
      </c>
      <c r="I51" s="29">
        <f>IFERROR(H51/$C$53,"")</f>
        <v/>
      </c>
      <c r="J51" s="29">
        <f>IFERROR(SUM($H$30:H51)/$C$53,"")</f>
        <v/>
      </c>
    </row>
    <row r="52">
      <c r="B52" s="6" t="inlineStr">
        <is>
          <t>Refugo de processo e retrabalho</t>
        </is>
      </c>
      <c r="C52" s="15">
        <f>E14-SUMIFS(CA_LARR,CA_EQ,EQF,CA_DATA,"&gt;="&amp;DT_INI,CA_DATA,"&lt;="&amp;DT_FIM)</f>
        <v/>
      </c>
      <c r="D52" s="30">
        <f>C52+1/1000000</f>
        <v/>
      </c>
      <c r="F52" s="12" t="n">
        <v>23</v>
      </c>
      <c r="G52" s="6">
        <f>IF(H52&gt;0,INDEX($B$30:$B$52,MATCH(LARGE($D$30:$D$52,23),$D$30:$D$52,0)),"")</f>
        <v/>
      </c>
      <c r="H52" s="28">
        <f>INDEX($C$30:$C$52,MATCH(LARGE($D$30:$D$52,23),$D$30:$D$52,0))</f>
        <v/>
      </c>
      <c r="I52" s="29">
        <f>IFERROR(H52/$C$53,"")</f>
        <v/>
      </c>
      <c r="J52" s="29">
        <f>IFERROR(SUM($H$30:H52)/$C$53,"")</f>
        <v/>
      </c>
    </row>
    <row r="53">
      <c r="B53" s="22" t="inlineStr">
        <is>
          <t>Total (= tempo perdido, sem o tempo efetivo)</t>
        </is>
      </c>
      <c r="C53" s="15">
        <f>SUM(C30:C52)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4">
    <mergeCell ref="M13:T13"/>
    <mergeCell ref="M12:T12"/>
    <mergeCell ref="M29:O29"/>
    <mergeCell ref="M11:T11"/>
  </mergeCells>
  <dataValidations count="1">
    <dataValidation sqref="C5" showDropDown="0" showInputMessage="0" showErrorMessage="0" allowBlank="0" type="list">
      <formula1>=$AA$5:$AA$25</formula1>
    </dataValidation>
  </dataValidation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2026-10-08T20:08:45Z</dcterms:created>
  <dcterms:modified xmlns:dcterms="http://purl.org/dc/terms/" xmlns:xsi="http://www.w3.org/2001/XMLSchema-instance" xsi:type="dcterms:W3CDTF">2026-10-08T20:08:46Z</dcterms:modified>
</cp:coreProperties>
</file>